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16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Bancos'!$A$4:$Q$44</definedName>
    <definedName name="_xlnm.Print_Area" localSheetId="5">'Definiciones Usadas'!$A$8:$C$352</definedName>
    <definedName name="_xlnm.Print_Area" localSheetId="3">'Estado Resultados Bancos'!$A$3:$S$43</definedName>
    <definedName name="_xlnm.Print_Area" localSheetId="4">'Indicadores Bancos'!$A$3:$L$48</definedName>
    <definedName name="_xlnm.Print_Area" localSheetId="0">'Indice'!$A$1:$B$23</definedName>
    <definedName name="_xlnm.Print_Area" localSheetId="1">'Información Sistema'!$B$3:$F$89</definedName>
  </definedNames>
  <calcPr fullCalcOnLoad="1"/>
</workbook>
</file>

<file path=xl/sharedStrings.xml><?xml version="1.0" encoding="utf-8"?>
<sst xmlns="http://schemas.openxmlformats.org/spreadsheetml/2006/main" count="536" uniqueCount="295">
  <si>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</si>
  <si>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</si>
  <si>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</si>
  <si>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</si>
  <si>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</si>
  <si>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</si>
  <si>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</si>
  <si>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</si>
  <si>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</si>
  <si>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</si>
  <si>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</si>
  <si>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</si>
  <si>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</si>
  <si>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</si>
  <si>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</si>
  <si>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</si>
  <si>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</si>
  <si>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</si>
  <si>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</si>
  <si>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</si>
  <si>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</si>
  <si>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</si>
  <si>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</si>
  <si>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</si>
  <si>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</si>
  <si>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</si>
  <si>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</si>
  <si>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</si>
  <si>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</si>
  <si>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</si>
  <si>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</si>
  <si>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</si>
  <si>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</si>
  <si>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</si>
  <si>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</si>
  <si>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</si>
  <si>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</si>
  <si>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</si>
  <si>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</si>
  <si>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</si>
  <si>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</si>
  <si>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</si>
  <si>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</si>
  <si>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</si>
  <si>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</si>
  <si>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</si>
  <si>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</si>
  <si>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</si>
  <si>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</si>
  <si>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</si>
  <si>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</si>
  <si>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</si>
  <si>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</si>
  <si>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</si>
  <si>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</si>
  <si>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</si>
  <si>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</si>
  <si>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</si>
  <si>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</si>
  <si>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</si>
  <si>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</si>
  <si>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</si>
  <si>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</si>
  <si>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</si>
  <si>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</si>
  <si>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</si>
  <si>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</si>
  <si>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</si>
  <si>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</si>
  <si>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</si>
  <si>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</si>
  <si>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</si>
  <si>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</si>
  <si>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</si>
  <si>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</si>
  <si>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</si>
  <si>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</si>
  <si>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</si>
  <si>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</si>
  <si>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</si>
  <si>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</si>
  <si>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</si>
  <si>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</si>
  <si>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</si>
  <si>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</si>
  <si>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</si>
  <si>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</si>
  <si>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</si>
  <si>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</si>
  <si>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</si>
  <si>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</si>
  <si>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</si>
  <si>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</si>
  <si>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</si>
  <si>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</si>
  <si>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</si>
  <si>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</si>
  <si>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</si>
  <si>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</si>
  <si>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</si>
  <si>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</si>
  <si>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</si>
  <si>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</si>
  <si>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</si>
  <si>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</si>
  <si>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</si>
  <si>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</si>
  <si>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</si>
  <si>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</si>
  <si>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</si>
  <si>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</si>
  <si>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</si>
  <si>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</si>
  <si>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</si>
  <si>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</si>
  <si>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</si>
  <si>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</si>
  <si>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</si>
  <si>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</si>
  <si>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</si>
  <si>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</si>
  <si>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</si>
  <si>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</si>
  <si>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</si>
  <si>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</si>
  <si>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</si>
  <si>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</si>
  <si>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</si>
  <si>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</si>
  <si>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</si>
  <si>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</si>
  <si>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</si>
  <si>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Vista netos</t>
  </si>
  <si>
    <t>de canje</t>
  </si>
  <si>
    <t>Del Estado de Chile</t>
  </si>
  <si>
    <t>(3) El deflactor utilizado corresponde a la unidad de fomento (UF).</t>
  </si>
  <si>
    <t>(1) Corresponde a la variación real entre los resultados del mes, respecto de los registrados durante el mes anterior.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</si>
  <si>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</si>
  <si>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</si>
  <si>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</si>
  <si>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</si>
  <si>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</si>
  <si>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</si>
  <si>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</si>
  <si>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</si>
  <si>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</si>
  <si>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</si>
  <si>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</si>
  <si>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</si>
  <si>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</si>
  <si>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</si>
  <si>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</si>
  <si>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</si>
  <si>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</si>
  <si>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</si>
  <si>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</si>
  <si>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</si>
  <si>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</si>
  <si>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</si>
  <si>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</si>
  <si>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</si>
  <si>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</si>
  <si>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</si>
  <si>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</si>
  <si>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</si>
  <si>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</si>
  <si>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</si>
  <si>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</si>
  <si>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</si>
  <si>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</si>
  <si>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</si>
  <si>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</si>
  <si>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</si>
  <si>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</si>
  <si>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</si>
  <si>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</si>
  <si>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</si>
  <si>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</si>
  <si>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</si>
  <si>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</si>
  <si>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</si>
  <si>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</si>
  <si>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</si>
  <si>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</si>
  <si>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</si>
  <si>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</si>
  <si>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</si>
  <si>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</si>
  <si>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</si>
  <si>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</si>
  <si>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</si>
  <si>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</si>
  <si>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</si>
  <si>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</si>
  <si>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</si>
  <si>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</si>
  <si>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</si>
  <si>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</si>
  <si>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</si>
  <si>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</si>
  <si>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</si>
  <si>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</si>
  <si>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</si>
  <si>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</si>
  <si>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</si>
  <si>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</si>
  <si>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</si>
  <si>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</si>
  <si>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</si>
  <si>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</si>
  <si>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</si>
  <si>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</si>
  <si>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</si>
  <si>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</si>
  <si>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</si>
  <si>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</si>
  <si>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</si>
  <si>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</si>
  <si>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</si>
  <si>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</si>
  <si>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</si>
  <si>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</si>
  <si>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</si>
  <si>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</si>
  <si>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</si>
  <si>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</si>
  <si>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</si>
  <si>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</si>
  <si>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</si>
  <si>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</si>
  <si>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</si>
  <si>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</si>
  <si>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</si>
  <si>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</si>
  <si>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</si>
  <si>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---</t>
  </si>
  <si>
    <t>De Crédito e Inversiones</t>
  </si>
  <si>
    <t>Actividad (variación en doce meses)  (1)</t>
  </si>
  <si>
    <t>Rentabilidad s/Capital y reservas  (2)</t>
  </si>
  <si>
    <t>Del Estado de Chile    (3)</t>
  </si>
  <si>
    <t>(1) Las variaciones son reales y usan como deflactor la unidad de fomento (UF).</t>
  </si>
  <si>
    <t>(2) Los porcentajes de rentabilidad se determinan anualizando las cifras de resultados (dividiendo estos últimos por el número de meses transcurridos y luego multiplicándolos por doce).</t>
  </si>
  <si>
    <t>(3) Esta institución está afecta a un régimen impositivo distinto que el del resto de la banca.</t>
  </si>
  <si>
    <t>Paris</t>
  </si>
  <si>
    <t xml:space="preserve">Paris </t>
  </si>
  <si>
    <t>Of Tokyo-Mitsubishi UFJ, Ltd.</t>
  </si>
  <si>
    <t>dic'2005</t>
  </si>
  <si>
    <t>Inversiones disponibles para la venta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</si>
  <si>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</si>
  <si>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</si>
  <si>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</si>
  <si>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</si>
  <si>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derivados financieros</t>
  </si>
  <si>
    <t>Instrumentos financieros no derivados</t>
  </si>
  <si>
    <t>Instrumentos financieros derivados</t>
  </si>
  <si>
    <t xml:space="preserve"> - Derivados para negociación</t>
  </si>
  <si>
    <t xml:space="preserve"> - Derivados para coberturas contables</t>
  </si>
  <si>
    <t>no derivados</t>
  </si>
  <si>
    <t>financieros</t>
  </si>
  <si>
    <t>derivados</t>
  </si>
  <si>
    <t>Diferencias de precio netas</t>
  </si>
  <si>
    <t>Correccción monetaria neta</t>
  </si>
  <si>
    <t>Instrumentos para negociación</t>
  </si>
  <si>
    <t>Inversiones hasta el vencimiento</t>
  </si>
  <si>
    <t>Instrumentos de inversión</t>
  </si>
  <si>
    <t>Disponibles para la venta</t>
  </si>
  <si>
    <t>Hasta el vencimiento</t>
  </si>
  <si>
    <t>Derivados para negociación</t>
  </si>
  <si>
    <t>2128 001</t>
  </si>
  <si>
    <t>Derivados para coberturas contables</t>
  </si>
  <si>
    <t>2128 002</t>
  </si>
  <si>
    <t>Diferenc.</t>
  </si>
  <si>
    <t>de precio</t>
  </si>
  <si>
    <t>Corrección</t>
  </si>
  <si>
    <t>Monetaria</t>
  </si>
  <si>
    <t>neta</t>
  </si>
  <si>
    <t>4128 001</t>
  </si>
  <si>
    <t>4128 002</t>
  </si>
  <si>
    <t xml:space="preserve">Instrumentos financieros derivados  </t>
  </si>
  <si>
    <t>Utilidad por instrumentos para negociación</t>
  </si>
  <si>
    <t>Utilidad por contratos de derivados</t>
  </si>
  <si>
    <t>Utilidad por inversiones disponibles para la venta</t>
  </si>
  <si>
    <t>Utilidad por venta de colocaciones y otras</t>
  </si>
  <si>
    <t>Utilidad por venta de bienbes recibidos en pago</t>
  </si>
  <si>
    <t>Pérdida por instrumentos para negociación</t>
  </si>
  <si>
    <t>Pérdida por contratos de derivados</t>
  </si>
  <si>
    <t>Pérdida por inversiones disponibles para la venta</t>
  </si>
  <si>
    <t>Pérdida por venta de colocaciones y otras</t>
  </si>
  <si>
    <t>Corrección monetaria neta</t>
  </si>
  <si>
    <t xml:space="preserve"> AL MES DE JULIO DE 2006</t>
  </si>
  <si>
    <t>PRINCIPALES ACTIVOS Y PASIVOS POR INSTITUCIONES AL MES DE JULIO DE 2006</t>
  </si>
  <si>
    <t>ESTRUCTURA DEL ESTADO DE RESULTADOS POR INSTITUCIONES AL MES DE JULIO DE 2006</t>
  </si>
  <si>
    <t>INDICADORES POR INSTITUCIONES AL MES DE JULIO DE 2006</t>
  </si>
  <si>
    <t>Reporte de Información Financiera Mensual - Julio de 2006</t>
  </si>
  <si>
    <t>Actualizado: 22/08/2006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</si>
</sst>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&quot;Pts&quot;_);\(#,##0&quot;Pts&quot;\)"/>
    <numFmt numFmtId="181" formatCode="#,##0&quot;Pts&quot;_);[Red]\(#,##0&quot;Pts&quot;\)"/>
    <numFmt numFmtId="182" formatCode="#,##0.00&quot;Pts&quot;_);\(#,##0.00&quot;Pts&quot;\)"/>
    <numFmt numFmtId="183" formatCode="#,##0.00&quot;Pts&quot;_);[Red]\(#,##0.00&quot;Pts&quot;\)"/>
    <numFmt numFmtId="184" formatCode="_ * #,##0_)&quot;Pts&quot;_ ;_ * \(#,##0\)&quot;Pts&quot;_ ;_ * &quot;-&quot;_)&quot;Pts&quot;_ ;_ @_ "/>
    <numFmt numFmtId="185" formatCode="_ * #,##0_)_P_t_s_ ;_ * \(#,##0\)_P_t_s_ ;_ * &quot;-&quot;_)_P_t_s_ ;_ @_ "/>
    <numFmt numFmtId="186" formatCode="_ * #,##0.00_)&quot;Pts&quot;_ ;_ * \(#,##0.00\)&quot;Pts&quot;_ ;_ * &quot;-&quot;??_)&quot;Pts&quot;_ ;_ @_ "/>
    <numFmt numFmtId="187" formatCode="_ * #,##0.00_)_P_t_s_ ;_ * \(#,##0.00\)_P_t_s_ ;_ * &quot;-&quot;??_)_P_t_s_ ;_ @_ "/>
    <numFmt numFmtId="188" formatCode="0.0%"/>
    <numFmt numFmtId="189" formatCode="0.000%"/>
    <numFmt numFmtId="190" formatCode="0.00000"/>
    <numFmt numFmtId="191" formatCode="0.0000"/>
    <numFmt numFmtId="192" formatCode="0.000"/>
    <numFmt numFmtId="193" formatCode="0.000000"/>
    <numFmt numFmtId="194" formatCode="0.0000000"/>
    <numFmt numFmtId="195" formatCode="#,##0.0"/>
    <numFmt numFmtId="196" formatCode="0.0"/>
    <numFmt numFmtId="197" formatCode="\+\ General"/>
    <numFmt numFmtId="198" formatCode="\-\ General"/>
    <numFmt numFmtId="199" formatCode="0.00000000"/>
  </numFmts>
  <fonts count="26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sz val="9"/>
      <name val="Lucida Sans"/>
      <family val="0"/>
    </font>
    <font>
      <sz val="9"/>
      <name val="Helv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1" fillId="2" borderId="2" xfId="0" applyFont="1" applyFill="1" applyBorder="1" applyAlignment="1">
      <alignment vertical="top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5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5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6" xfId="0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6" xfId="0" applyNumberFormat="1" applyFont="1" applyFill="1" applyBorder="1" applyAlignment="1">
      <alignment horizontal="center"/>
    </xf>
    <xf numFmtId="4" fontId="10" fillId="2" borderId="6" xfId="0" applyNumberFormat="1" applyFont="1" applyFill="1" applyBorder="1" applyAlignment="1" quotePrefix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8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188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12" xfId="0" applyFont="1" applyFill="1" applyBorder="1" applyAlignment="1">
      <alignment/>
    </xf>
    <xf numFmtId="0" fontId="10" fillId="2" borderId="8" xfId="0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6" xfId="0" applyNumberFormat="1" applyFont="1" applyFill="1" applyBorder="1" applyAlignment="1">
      <alignment horizontal="right"/>
    </xf>
    <xf numFmtId="197" fontId="1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197" fontId="10" fillId="2" borderId="8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/>
    </xf>
    <xf numFmtId="197" fontId="11" fillId="2" borderId="0" xfId="0" applyNumberFormat="1" applyFont="1" applyFill="1" applyBorder="1" applyAlignment="1">
      <alignment horizontal="right"/>
    </xf>
    <xf numFmtId="198" fontId="10" fillId="2" borderId="8" xfId="0" applyNumberFormat="1" applyFont="1" applyFill="1" applyBorder="1" applyAlignment="1">
      <alignment horizontal="right"/>
    </xf>
    <xf numFmtId="197" fontId="10" fillId="2" borderId="6" xfId="0" applyNumberFormat="1" applyFont="1" applyFill="1" applyBorder="1" applyAlignment="1">
      <alignment/>
    </xf>
    <xf numFmtId="198" fontId="10" fillId="2" borderId="6" xfId="0" applyNumberFormat="1" applyFont="1" applyFill="1" applyBorder="1" applyAlignment="1">
      <alignment/>
    </xf>
    <xf numFmtId="197" fontId="10" fillId="2" borderId="8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197" fontId="10" fillId="2" borderId="5" xfId="0" applyNumberFormat="1" applyFont="1" applyFill="1" applyBorder="1" applyAlignment="1">
      <alignment/>
    </xf>
    <xf numFmtId="198" fontId="10" fillId="2" borderId="8" xfId="0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0" fillId="2" borderId="8" xfId="0" applyNumberFormat="1" applyFont="1" applyFill="1" applyBorder="1" applyAlignment="1">
      <alignment/>
    </xf>
    <xf numFmtId="0" fontId="10" fillId="2" borderId="5" xfId="0" applyNumberFormat="1" applyFont="1" applyFill="1" applyBorder="1" applyAlignment="1">
      <alignment/>
    </xf>
    <xf numFmtId="197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0" fontId="20" fillId="2" borderId="13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198" fontId="20" fillId="2" borderId="6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0" fillId="2" borderId="14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2" fontId="8" fillId="2" borderId="5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" fontId="22" fillId="2" borderId="0" xfId="0" applyNumberFormat="1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Continuous" vertical="center"/>
    </xf>
    <xf numFmtId="0" fontId="25" fillId="2" borderId="17" xfId="0" applyFont="1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centerContinuous" vertical="center"/>
    </xf>
    <xf numFmtId="0" fontId="25" fillId="2" borderId="2" xfId="0" applyFont="1" applyFill="1" applyBorder="1" applyAlignment="1">
      <alignment horizontal="center" vertical="center"/>
    </xf>
    <xf numFmtId="10" fontId="25" fillId="2" borderId="2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right"/>
    </xf>
    <xf numFmtId="0" fontId="23" fillId="4" borderId="11" xfId="0" applyFont="1" applyFill="1" applyBorder="1" applyAlignment="1">
      <alignment horizontal="left"/>
    </xf>
    <xf numFmtId="0" fontId="23" fillId="4" borderId="5" xfId="0" applyFont="1" applyFill="1" applyBorder="1" applyAlignment="1">
      <alignment horizontal="right"/>
    </xf>
    <xf numFmtId="0" fontId="23" fillId="4" borderId="13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right"/>
    </xf>
    <xf numFmtId="0" fontId="23" fillId="4" borderId="12" xfId="0" applyFont="1" applyFill="1" applyBorder="1" applyAlignment="1">
      <alignment horizontal="left"/>
    </xf>
    <xf numFmtId="0" fontId="23" fillId="4" borderId="8" xfId="0" applyFont="1" applyFill="1" applyBorder="1" applyAlignment="1">
      <alignment horizontal="right"/>
    </xf>
    <xf numFmtId="0" fontId="23" fillId="4" borderId="19" xfId="0" applyFont="1" applyFill="1" applyBorder="1" applyAlignment="1">
      <alignment horizontal="left"/>
    </xf>
    <xf numFmtId="0" fontId="23" fillId="4" borderId="10" xfId="0" applyFont="1" applyFill="1" applyBorder="1" applyAlignment="1">
      <alignment horizontal="right"/>
    </xf>
    <xf numFmtId="0" fontId="10" fillId="4" borderId="5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197" fontId="10" fillId="4" borderId="6" xfId="0" applyNumberFormat="1" applyFont="1" applyFill="1" applyBorder="1" applyAlignment="1">
      <alignment horizontal="right"/>
    </xf>
    <xf numFmtId="0" fontId="10" fillId="4" borderId="12" xfId="0" applyFont="1" applyFill="1" applyBorder="1" applyAlignment="1">
      <alignment/>
    </xf>
    <xf numFmtId="198" fontId="10" fillId="4" borderId="8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right"/>
    </xf>
    <xf numFmtId="0" fontId="10" fillId="4" borderId="11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25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2" borderId="23" xfId="0" applyNumberFormat="1" applyFont="1" applyFill="1" applyBorder="1" applyAlignment="1">
      <alignment horizontal="right"/>
    </xf>
    <xf numFmtId="3" fontId="11" fillId="2" borderId="24" xfId="0" applyNumberFormat="1" applyFont="1" applyFill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3" fontId="11" fillId="2" borderId="26" xfId="0" applyNumberFormat="1" applyFont="1" applyFill="1" applyBorder="1" applyAlignment="1">
      <alignment horizontal="right"/>
    </xf>
    <xf numFmtId="10" fontId="25" fillId="2" borderId="1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2" fontId="11" fillId="2" borderId="6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3" fontId="10" fillId="2" borderId="10" xfId="0" applyNumberFormat="1" applyFont="1" applyFill="1" applyBorder="1" applyAlignment="1">
      <alignment horizontal="right"/>
    </xf>
    <xf numFmtId="3" fontId="11" fillId="2" borderId="15" xfId="0" applyNumberFormat="1" applyFont="1" applyFill="1" applyBorder="1" applyAlignment="1">
      <alignment/>
    </xf>
    <xf numFmtId="3" fontId="11" fillId="2" borderId="20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2" fontId="11" fillId="2" borderId="5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1" fillId="2" borderId="8" xfId="0" applyNumberFormat="1" applyFont="1" applyFill="1" applyBorder="1" applyAlignment="1" quotePrefix="1">
      <alignment horizontal="center"/>
    </xf>
    <xf numFmtId="2" fontId="11" fillId="2" borderId="6" xfId="0" applyNumberFormat="1" applyFont="1" applyFill="1" applyBorder="1" applyAlignment="1" quotePrefix="1">
      <alignment horizontal="center"/>
    </xf>
    <xf numFmtId="3" fontId="10" fillId="2" borderId="15" xfId="0" applyNumberFormat="1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2" xfId="0" applyNumberFormat="1" applyFont="1" applyFill="1" applyBorder="1" applyAlignment="1">
      <alignment/>
    </xf>
    <xf numFmtId="2" fontId="10" fillId="2" borderId="5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2" fontId="11" fillId="2" borderId="10" xfId="0" applyNumberFormat="1" applyFont="1" applyFill="1" applyBorder="1" applyAlignment="1" quotePrefix="1">
      <alignment horizontal="center"/>
    </xf>
    <xf numFmtId="0" fontId="11" fillId="4" borderId="1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0" fontId="25" fillId="2" borderId="22" xfId="0" applyNumberFormat="1" applyFont="1" applyFill="1" applyBorder="1" applyAlignment="1">
      <alignment horizontal="center" vertical="center"/>
    </xf>
    <xf numFmtId="10" fontId="25" fillId="2" borderId="28" xfId="0" applyNumberFormat="1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1323975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625" style="3" customWidth="1"/>
    <col min="2" max="2" width="85.0039062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67" t="s">
        <v>293</v>
      </c>
    </row>
    <row r="9" ht="12.75">
      <c r="B9" s="68" t="s">
        <v>15</v>
      </c>
    </row>
    <row r="11" ht="12.75">
      <c r="B11" s="69" t="s">
        <v>142</v>
      </c>
    </row>
    <row r="13" ht="12.75">
      <c r="B13" s="68" t="s">
        <v>141</v>
      </c>
    </row>
    <row r="15" ht="12.75">
      <c r="B15" s="69" t="s">
        <v>146</v>
      </c>
    </row>
    <row r="17" ht="12.75">
      <c r="B17" s="69" t="s">
        <v>147</v>
      </c>
    </row>
    <row r="19" ht="12.75">
      <c r="B19" s="69" t="s">
        <v>143</v>
      </c>
    </row>
    <row r="21" ht="12.75">
      <c r="B21" s="69" t="s">
        <v>145</v>
      </c>
    </row>
    <row r="25" ht="12.75">
      <c r="B25" s="3" t="s">
        <v>294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workbookViewId="0" topLeftCell="A1">
      <selection activeCell="A1" sqref="A1"/>
    </sheetView>
  </sheetViews>
  <sheetFormatPr defaultColWidth="11.00390625" defaultRowHeight="12.75"/>
  <cols>
    <col min="1" max="1" width="12.00390625" style="3" customWidth="1"/>
    <col min="2" max="2" width="66.875" style="3" customWidth="1"/>
    <col min="3" max="3" width="18.50390625" style="3" bestFit="1" customWidth="1"/>
    <col min="4" max="4" width="19.875" style="3" bestFit="1" customWidth="1"/>
    <col min="5" max="5" width="15.875" style="3" bestFit="1" customWidth="1"/>
    <col min="6" max="6" width="16.875" style="3" customWidth="1"/>
    <col min="7" max="16384" width="12.00390625" style="3" customWidth="1"/>
  </cols>
  <sheetData>
    <row r="1" spans="1:6" ht="12.75">
      <c r="A1" s="66" t="s">
        <v>137</v>
      </c>
      <c r="F1" s="70" t="s">
        <v>144</v>
      </c>
    </row>
    <row r="2" ht="12.75">
      <c r="A2" s="66" t="s">
        <v>138</v>
      </c>
    </row>
    <row r="3" spans="1:6" ht="18">
      <c r="A3" s="66"/>
      <c r="B3" s="196" t="s">
        <v>139</v>
      </c>
      <c r="C3" s="196"/>
      <c r="D3" s="196"/>
      <c r="E3" s="196"/>
      <c r="F3" s="196"/>
    </row>
    <row r="4" spans="2:6" ht="18">
      <c r="B4" s="196" t="s">
        <v>140</v>
      </c>
      <c r="C4" s="196"/>
      <c r="D4" s="196"/>
      <c r="E4" s="196"/>
      <c r="F4" s="196"/>
    </row>
    <row r="5" spans="2:6" ht="18">
      <c r="B5" s="196" t="s">
        <v>289</v>
      </c>
      <c r="C5" s="196"/>
      <c r="D5" s="196"/>
      <c r="E5" s="196"/>
      <c r="F5" s="196"/>
    </row>
    <row r="6" spans="2:6" ht="12" customHeight="1">
      <c r="B6" s="1"/>
      <c r="C6" s="4"/>
      <c r="D6" s="2"/>
      <c r="E6" s="2"/>
      <c r="F6" s="5"/>
    </row>
    <row r="7" spans="2:6" ht="15">
      <c r="B7" s="199" t="s">
        <v>62</v>
      </c>
      <c r="C7" s="200"/>
      <c r="D7" s="200"/>
      <c r="E7" s="200"/>
      <c r="F7" s="201"/>
    </row>
    <row r="8" spans="2:6" ht="9" customHeight="1">
      <c r="B8" s="6"/>
      <c r="C8" s="6"/>
      <c r="D8" s="6"/>
      <c r="E8" s="6"/>
      <c r="F8" s="6"/>
    </row>
    <row r="9" spans="2:6" ht="15">
      <c r="B9" s="7"/>
      <c r="C9" s="130" t="s">
        <v>63</v>
      </c>
      <c r="D9" s="131" t="s">
        <v>128</v>
      </c>
      <c r="E9" s="132"/>
      <c r="F9" s="133"/>
    </row>
    <row r="10" spans="2:6" ht="15">
      <c r="B10" s="8"/>
      <c r="C10" s="134" t="s">
        <v>64</v>
      </c>
      <c r="D10" s="135" t="s">
        <v>65</v>
      </c>
      <c r="E10" s="135" t="s">
        <v>246</v>
      </c>
      <c r="F10" s="135" t="s">
        <v>66</v>
      </c>
    </row>
    <row r="11" spans="2:6" ht="9" customHeight="1">
      <c r="B11" s="9"/>
      <c r="C11" s="10"/>
      <c r="D11" s="11"/>
      <c r="E11" s="11"/>
      <c r="F11" s="11"/>
    </row>
    <row r="12" spans="2:6" ht="12.75">
      <c r="B12" s="12" t="s">
        <v>67</v>
      </c>
      <c r="C12" s="181">
        <v>49269281.5792</v>
      </c>
      <c r="D12" s="185">
        <v>0.321882056405334</v>
      </c>
      <c r="E12" s="185">
        <v>8.29881554632694</v>
      </c>
      <c r="F12" s="185">
        <v>15.3023650122776</v>
      </c>
    </row>
    <row r="13" spans="2:6" ht="16.5" customHeight="1">
      <c r="B13" s="13" t="s">
        <v>98</v>
      </c>
      <c r="C13" s="182">
        <v>32947173.3475</v>
      </c>
      <c r="D13" s="178">
        <v>-0.127500479415778</v>
      </c>
      <c r="E13" s="178">
        <v>7.78393428326398</v>
      </c>
      <c r="F13" s="178">
        <v>13.7170645234995</v>
      </c>
    </row>
    <row r="14" spans="2:6" ht="12.75">
      <c r="B14" s="14" t="s">
        <v>118</v>
      </c>
      <c r="C14" s="183">
        <v>27878934.7693</v>
      </c>
      <c r="D14" s="120">
        <v>0.748462536068604</v>
      </c>
      <c r="E14" s="120">
        <v>6.04907949478128</v>
      </c>
      <c r="F14" s="120">
        <v>14.2517654562867</v>
      </c>
    </row>
    <row r="15" spans="2:6" ht="12.75">
      <c r="B15" s="14" t="s">
        <v>119</v>
      </c>
      <c r="C15" s="183">
        <v>4504950.4071</v>
      </c>
      <c r="D15" s="120">
        <v>-4.6132458120856</v>
      </c>
      <c r="E15" s="120">
        <v>22.3855023454012</v>
      </c>
      <c r="F15" s="120">
        <v>15.3104981463626</v>
      </c>
    </row>
    <row r="16" spans="2:6" ht="12.75">
      <c r="B16" s="14" t="s">
        <v>120</v>
      </c>
      <c r="C16" s="183">
        <v>563288.1711</v>
      </c>
      <c r="D16" s="120">
        <v>-5.26400090543577</v>
      </c>
      <c r="E16" s="120">
        <v>-5.82596693752078</v>
      </c>
      <c r="F16" s="120">
        <v>-15.2721577861974</v>
      </c>
    </row>
    <row r="17" spans="2:6" ht="12.75">
      <c r="B17" s="13" t="s">
        <v>97</v>
      </c>
      <c r="C17" s="182">
        <v>16322108.231</v>
      </c>
      <c r="D17" s="178">
        <v>1.24142160570465</v>
      </c>
      <c r="E17" s="178">
        <v>9.3532673329509</v>
      </c>
      <c r="F17" s="178">
        <v>18.6409503185746</v>
      </c>
    </row>
    <row r="18" spans="2:6" ht="12.75">
      <c r="B18" s="14" t="s">
        <v>121</v>
      </c>
      <c r="C18" s="183">
        <v>6188033.6053</v>
      </c>
      <c r="D18" s="120">
        <v>1.03514158684052</v>
      </c>
      <c r="E18" s="120">
        <v>11.5203174541282</v>
      </c>
      <c r="F18" s="120">
        <v>22.0925317923564</v>
      </c>
    </row>
    <row r="19" spans="2:6" ht="12.75">
      <c r="B19" s="14" t="s">
        <v>122</v>
      </c>
      <c r="C19" s="183">
        <v>10134074.6257</v>
      </c>
      <c r="D19" s="120">
        <v>1.36779430737962</v>
      </c>
      <c r="E19" s="120">
        <v>8.07095880901331</v>
      </c>
      <c r="F19" s="120">
        <v>16.6276930291827</v>
      </c>
    </row>
    <row r="20" spans="2:6" ht="9" customHeight="1">
      <c r="B20" s="14"/>
      <c r="C20" s="183"/>
      <c r="D20" s="120"/>
      <c r="E20" s="120"/>
      <c r="F20" s="120"/>
    </row>
    <row r="21" spans="2:6" ht="9" customHeight="1">
      <c r="B21" s="14"/>
      <c r="C21" s="183"/>
      <c r="D21" s="120"/>
      <c r="E21" s="120"/>
      <c r="F21" s="120"/>
    </row>
    <row r="22" spans="2:6" ht="12.75" customHeight="1">
      <c r="B22" s="13" t="s">
        <v>253</v>
      </c>
      <c r="C22" s="182">
        <v>7302744.1676</v>
      </c>
      <c r="D22" s="188">
        <v>-4.24379103345498</v>
      </c>
      <c r="E22" s="188" t="s">
        <v>235</v>
      </c>
      <c r="F22" s="188" t="s">
        <v>235</v>
      </c>
    </row>
    <row r="23" spans="2:6" ht="12.75" customHeight="1">
      <c r="B23" s="13" t="s">
        <v>248</v>
      </c>
      <c r="C23" s="182">
        <v>3451764.4916</v>
      </c>
      <c r="D23" s="188">
        <v>-7.97719255824804</v>
      </c>
      <c r="E23" s="188" t="s">
        <v>235</v>
      </c>
      <c r="F23" s="188" t="s">
        <v>235</v>
      </c>
    </row>
    <row r="24" spans="2:6" ht="12.75" customHeight="1">
      <c r="B24" s="13" t="s">
        <v>249</v>
      </c>
      <c r="C24" s="182">
        <v>3850979.676</v>
      </c>
      <c r="D24" s="188">
        <v>-0.630246903472666</v>
      </c>
      <c r="E24" s="188" t="s">
        <v>235</v>
      </c>
      <c r="F24" s="188" t="s">
        <v>235</v>
      </c>
    </row>
    <row r="25" spans="2:6" ht="12.75" customHeight="1">
      <c r="B25" s="14" t="s">
        <v>250</v>
      </c>
      <c r="C25" s="183">
        <v>3643034.5637</v>
      </c>
      <c r="D25" s="186">
        <v>-0.617484924294312</v>
      </c>
      <c r="E25" s="188" t="s">
        <v>235</v>
      </c>
      <c r="F25" s="188" t="s">
        <v>235</v>
      </c>
    </row>
    <row r="26" spans="2:6" ht="12.75" customHeight="1">
      <c r="B26" s="14" t="s">
        <v>251</v>
      </c>
      <c r="C26" s="183">
        <v>207945.1123</v>
      </c>
      <c r="D26" s="186">
        <v>-0.85329622347837</v>
      </c>
      <c r="E26" s="188" t="s">
        <v>235</v>
      </c>
      <c r="F26" s="188" t="s">
        <v>235</v>
      </c>
    </row>
    <row r="27" spans="2:6" ht="9" customHeight="1">
      <c r="B27" s="14"/>
      <c r="C27" s="183"/>
      <c r="D27" s="186"/>
      <c r="E27" s="188"/>
      <c r="F27" s="188"/>
    </row>
    <row r="28" spans="2:6" ht="12.75">
      <c r="B28" s="13" t="s">
        <v>254</v>
      </c>
      <c r="C28" s="182">
        <v>990348.2016</v>
      </c>
      <c r="D28" s="188">
        <v>-14.1544824286289</v>
      </c>
      <c r="E28" s="186" t="s">
        <v>235</v>
      </c>
      <c r="F28" s="186" t="s">
        <v>235</v>
      </c>
    </row>
    <row r="29" spans="2:6" ht="12.75">
      <c r="B29" s="14" t="s">
        <v>255</v>
      </c>
      <c r="C29" s="183">
        <v>990348.2016</v>
      </c>
      <c r="D29" s="186">
        <v>-14.1544824286289</v>
      </c>
      <c r="E29" s="188" t="s">
        <v>235</v>
      </c>
      <c r="F29" s="188" t="s">
        <v>235</v>
      </c>
    </row>
    <row r="30" spans="2:6" ht="12.75">
      <c r="B30" s="14" t="s">
        <v>256</v>
      </c>
      <c r="C30" s="183">
        <v>0</v>
      </c>
      <c r="D30" s="186" t="s">
        <v>235</v>
      </c>
      <c r="E30" s="188" t="s">
        <v>235</v>
      </c>
      <c r="F30" s="188" t="s">
        <v>235</v>
      </c>
    </row>
    <row r="31" spans="2:6" ht="12.75">
      <c r="B31" s="14"/>
      <c r="C31" s="183"/>
      <c r="D31" s="186"/>
      <c r="E31" s="186"/>
      <c r="F31" s="186"/>
    </row>
    <row r="32" spans="2:6" ht="12.75">
      <c r="B32" s="15" t="s">
        <v>68</v>
      </c>
      <c r="C32" s="184">
        <v>67062689.3335</v>
      </c>
      <c r="D32" s="187">
        <v>0.280746677315401</v>
      </c>
      <c r="E32" s="187" t="s">
        <v>235</v>
      </c>
      <c r="F32" s="187" t="s">
        <v>235</v>
      </c>
    </row>
    <row r="33" spans="2:6" ht="9" customHeight="1">
      <c r="B33" s="16"/>
      <c r="C33" s="17"/>
      <c r="D33" s="18"/>
      <c r="E33" s="18"/>
      <c r="F33" s="18"/>
    </row>
    <row r="34" spans="2:6" ht="12.75">
      <c r="B34" s="12" t="s">
        <v>69</v>
      </c>
      <c r="C34" s="181">
        <v>39636153.9418</v>
      </c>
      <c r="D34" s="185">
        <v>0.222941485857623</v>
      </c>
      <c r="E34" s="185">
        <v>6.1188223226118</v>
      </c>
      <c r="F34" s="185">
        <v>13.408530728525</v>
      </c>
    </row>
    <row r="35" spans="2:6" ht="12.75">
      <c r="B35" s="14" t="s">
        <v>127</v>
      </c>
      <c r="C35" s="183">
        <v>8449072.6644</v>
      </c>
      <c r="D35" s="120">
        <v>-1.06547728090254</v>
      </c>
      <c r="E35" s="120">
        <v>3.60958065637922</v>
      </c>
      <c r="F35" s="120">
        <v>9.84908721851541</v>
      </c>
    </row>
    <row r="36" spans="2:6" ht="12.75">
      <c r="B36" s="14" t="s">
        <v>99</v>
      </c>
      <c r="C36" s="183">
        <v>31187081.2774</v>
      </c>
      <c r="D36" s="120">
        <v>0.577792123443551</v>
      </c>
      <c r="E36" s="120">
        <v>6.81967727919318</v>
      </c>
      <c r="F36" s="120">
        <v>14.4129035978314</v>
      </c>
    </row>
    <row r="37" spans="2:6" ht="9" customHeight="1">
      <c r="B37" s="14"/>
      <c r="C37" s="183"/>
      <c r="D37" s="120"/>
      <c r="E37" s="120"/>
      <c r="F37" s="120"/>
    </row>
    <row r="38" spans="2:6" ht="12.75">
      <c r="B38" s="13" t="s">
        <v>110</v>
      </c>
      <c r="C38" s="182">
        <v>4135044.0669</v>
      </c>
      <c r="D38" s="178">
        <v>-5.05010636883606</v>
      </c>
      <c r="E38" s="178">
        <v>11.0138182116365</v>
      </c>
      <c r="F38" s="178">
        <v>10.9208307580525</v>
      </c>
    </row>
    <row r="39" spans="2:6" ht="12.75">
      <c r="B39" s="13"/>
      <c r="C39" s="182"/>
      <c r="D39" s="178"/>
      <c r="E39" s="178"/>
      <c r="F39" s="178"/>
    </row>
    <row r="40" spans="2:6" ht="12.75">
      <c r="B40" s="13" t="s">
        <v>111</v>
      </c>
      <c r="C40" s="182">
        <v>8054660.8987</v>
      </c>
      <c r="D40" s="178">
        <v>-0.472173726475256</v>
      </c>
      <c r="E40" s="178">
        <v>1.72857378973482</v>
      </c>
      <c r="F40" s="178">
        <v>3.97626656789929</v>
      </c>
    </row>
    <row r="41" spans="2:6" ht="12.75">
      <c r="B41" s="14" t="s">
        <v>112</v>
      </c>
      <c r="C41" s="183">
        <v>4824443.1946</v>
      </c>
      <c r="D41" s="120">
        <v>-2.45614062299817</v>
      </c>
      <c r="E41" s="120">
        <v>-6.68053363874363</v>
      </c>
      <c r="F41" s="120">
        <v>-7.08147593886862</v>
      </c>
    </row>
    <row r="42" spans="2:6" ht="15" customHeight="1">
      <c r="B42" s="14" t="s">
        <v>113</v>
      </c>
      <c r="C42" s="183">
        <v>1568752.8082</v>
      </c>
      <c r="D42" s="120">
        <v>6.94110287393589</v>
      </c>
      <c r="E42" s="120">
        <v>21.6012731527688</v>
      </c>
      <c r="F42" s="120">
        <v>54.5258763184218</v>
      </c>
    </row>
    <row r="43" spans="2:6" ht="12.75">
      <c r="B43" s="14" t="s">
        <v>114</v>
      </c>
      <c r="C43" s="183">
        <v>1661464.8959</v>
      </c>
      <c r="D43" s="120">
        <v>-1.10444250552419</v>
      </c>
      <c r="E43" s="120">
        <v>13.9627043689073</v>
      </c>
      <c r="F43" s="120">
        <v>7.93582823339971</v>
      </c>
    </row>
    <row r="44" spans="2:6" ht="12.75">
      <c r="B44" s="14"/>
      <c r="C44" s="183"/>
      <c r="D44" s="120"/>
      <c r="E44" s="120"/>
      <c r="F44" s="120"/>
    </row>
    <row r="45" spans="2:6" ht="12.75">
      <c r="B45" s="13" t="s">
        <v>254</v>
      </c>
      <c r="C45" s="182">
        <v>868631.0092</v>
      </c>
      <c r="D45" s="188">
        <v>-12.0258099212326</v>
      </c>
      <c r="E45" s="188" t="s">
        <v>235</v>
      </c>
      <c r="F45" s="188" t="s">
        <v>235</v>
      </c>
    </row>
    <row r="46" spans="2:6" ht="12.75">
      <c r="B46" s="14" t="s">
        <v>255</v>
      </c>
      <c r="C46" s="183">
        <v>848993.7423</v>
      </c>
      <c r="D46" s="186">
        <v>-13.1569392336551</v>
      </c>
      <c r="E46" s="186" t="s">
        <v>235</v>
      </c>
      <c r="F46" s="186" t="s">
        <v>235</v>
      </c>
    </row>
    <row r="47" spans="2:6" ht="12.75">
      <c r="B47" s="14" t="s">
        <v>256</v>
      </c>
      <c r="C47" s="183">
        <v>19637.2669</v>
      </c>
      <c r="D47" s="186">
        <v>101.369010523599</v>
      </c>
      <c r="E47" s="186" t="s">
        <v>235</v>
      </c>
      <c r="F47" s="186" t="s">
        <v>235</v>
      </c>
    </row>
    <row r="48" spans="2:6" ht="9" customHeight="1">
      <c r="B48" s="14"/>
      <c r="C48" s="183"/>
      <c r="D48" s="120"/>
      <c r="E48" s="120"/>
      <c r="F48" s="120"/>
    </row>
    <row r="49" spans="2:6" ht="12.75">
      <c r="B49" s="15" t="s">
        <v>70</v>
      </c>
      <c r="C49" s="184">
        <v>4777032.8614</v>
      </c>
      <c r="D49" s="187">
        <v>0.225439057404656</v>
      </c>
      <c r="E49" s="187" t="s">
        <v>235</v>
      </c>
      <c r="F49" s="187" t="s">
        <v>235</v>
      </c>
    </row>
    <row r="50" spans="2:6" ht="9" customHeight="1">
      <c r="B50" s="19"/>
      <c r="C50" s="20"/>
      <c r="D50" s="21"/>
      <c r="E50" s="21"/>
      <c r="F50" s="21"/>
    </row>
    <row r="51" spans="2:6" ht="12.75">
      <c r="B51" s="46" t="s">
        <v>27</v>
      </c>
      <c r="C51" s="20"/>
      <c r="D51" s="21"/>
      <c r="E51" s="21"/>
      <c r="F51" s="21"/>
    </row>
    <row r="52" spans="2:6" ht="12.75">
      <c r="B52" s="22" t="s">
        <v>73</v>
      </c>
      <c r="C52" s="189">
        <v>398717.8622</v>
      </c>
      <c r="D52" s="118">
        <v>-1.45196950237879</v>
      </c>
      <c r="E52" s="118">
        <v>-3.33336222627466</v>
      </c>
      <c r="F52" s="118">
        <v>-12.4228410925223</v>
      </c>
    </row>
    <row r="53" spans="2:6" ht="12.75">
      <c r="B53" s="14" t="s">
        <v>72</v>
      </c>
      <c r="C53" s="183">
        <v>2285046.7259</v>
      </c>
      <c r="D53" s="120">
        <v>0.227382993963903</v>
      </c>
      <c r="E53" s="120">
        <v>5.48305608140135</v>
      </c>
      <c r="F53" s="120">
        <v>15.660427416426</v>
      </c>
    </row>
    <row r="54" spans="2:6" ht="12.75">
      <c r="B54" s="14" t="s">
        <v>90</v>
      </c>
      <c r="C54" s="183">
        <v>578797.3112</v>
      </c>
      <c r="D54" s="120">
        <v>-2.66348101059408</v>
      </c>
      <c r="E54" s="120">
        <v>-7.61596550081273</v>
      </c>
      <c r="F54" s="120">
        <v>59.9727928082774</v>
      </c>
    </row>
    <row r="55" spans="2:6" ht="12.75">
      <c r="B55" s="23" t="s">
        <v>71</v>
      </c>
      <c r="C55" s="190">
        <v>3939730.6711</v>
      </c>
      <c r="D55" s="122">
        <v>-3.02975737711404</v>
      </c>
      <c r="E55" s="122">
        <v>13.1478947783044</v>
      </c>
      <c r="F55" s="122">
        <v>19.5602779046723</v>
      </c>
    </row>
    <row r="56" spans="2:6" ht="9" customHeight="1">
      <c r="B56" s="19"/>
      <c r="C56" s="20"/>
      <c r="D56" s="21"/>
      <c r="E56" s="21"/>
      <c r="F56" s="21"/>
    </row>
    <row r="57" spans="2:6" ht="12.75">
      <c r="B57" s="24" t="s">
        <v>74</v>
      </c>
      <c r="C57" s="191">
        <v>45329550.9081</v>
      </c>
      <c r="D57" s="176">
        <v>0.62415981513825</v>
      </c>
      <c r="E57" s="176">
        <v>7.89692574046691</v>
      </c>
      <c r="F57" s="176">
        <v>14.9465772405052</v>
      </c>
    </row>
    <row r="58" spans="2:6" ht="9" customHeight="1">
      <c r="B58" s="6"/>
      <c r="C58" s="25"/>
      <c r="D58" s="26"/>
      <c r="E58" s="26"/>
      <c r="F58" s="26"/>
    </row>
    <row r="59" spans="2:6" ht="15">
      <c r="B59" s="199" t="s">
        <v>75</v>
      </c>
      <c r="C59" s="200"/>
      <c r="D59" s="200"/>
      <c r="E59" s="200"/>
      <c r="F59" s="201"/>
    </row>
    <row r="60" spans="2:13" ht="9" customHeight="1">
      <c r="B60" s="27"/>
      <c r="C60" s="28"/>
      <c r="D60" s="29"/>
      <c r="E60" s="29"/>
      <c r="F60" s="127"/>
      <c r="G60" s="127"/>
      <c r="H60" s="127"/>
      <c r="I60" s="127"/>
      <c r="J60" s="127"/>
      <c r="K60" s="127"/>
      <c r="L60" s="127"/>
      <c r="M60" s="127"/>
    </row>
    <row r="61" spans="2:13" ht="15">
      <c r="B61" s="7"/>
      <c r="C61" s="136" t="s">
        <v>76</v>
      </c>
      <c r="D61" s="197" t="s">
        <v>128</v>
      </c>
      <c r="E61" s="198"/>
      <c r="F61" s="127"/>
      <c r="G61" s="127"/>
      <c r="H61" s="127"/>
      <c r="I61" s="127"/>
      <c r="J61" s="127"/>
      <c r="K61" s="127"/>
      <c r="L61" s="127"/>
      <c r="M61" s="127"/>
    </row>
    <row r="62" spans="2:13" ht="15">
      <c r="B62" s="30"/>
      <c r="C62" s="168" t="s">
        <v>64</v>
      </c>
      <c r="D62" s="175" t="s">
        <v>129</v>
      </c>
      <c r="E62" s="175" t="s">
        <v>130</v>
      </c>
      <c r="F62" s="127"/>
      <c r="G62" s="127"/>
      <c r="H62" s="127"/>
      <c r="I62" s="127"/>
      <c r="J62" s="127"/>
      <c r="K62" s="127"/>
      <c r="L62" s="127"/>
      <c r="M62" s="127"/>
    </row>
    <row r="63" spans="2:13" ht="12.75">
      <c r="B63" s="164" t="s">
        <v>189</v>
      </c>
      <c r="C63" s="169">
        <v>1314428.7349</v>
      </c>
      <c r="D63" s="192" t="s">
        <v>235</v>
      </c>
      <c r="E63" s="192" t="s">
        <v>235</v>
      </c>
      <c r="F63" s="127"/>
      <c r="G63" s="127"/>
      <c r="H63" s="127"/>
      <c r="I63" s="127"/>
      <c r="J63" s="127"/>
      <c r="K63" s="127"/>
      <c r="L63" s="127"/>
      <c r="M63" s="127"/>
    </row>
    <row r="64" spans="2:13" ht="12.75">
      <c r="B64" s="165" t="s">
        <v>77</v>
      </c>
      <c r="C64" s="170">
        <v>306314.9333</v>
      </c>
      <c r="D64" s="120">
        <v>11.7346724843487</v>
      </c>
      <c r="E64" s="121">
        <v>7.48661937313695</v>
      </c>
      <c r="F64" s="127"/>
      <c r="G64" s="127"/>
      <c r="H64" s="127"/>
      <c r="I64" s="127"/>
      <c r="J64" s="127"/>
      <c r="K64" s="127"/>
      <c r="L64" s="127"/>
      <c r="M64" s="127"/>
    </row>
    <row r="65" spans="2:13" ht="12.75">
      <c r="B65" s="165" t="s">
        <v>196</v>
      </c>
      <c r="C65" s="170">
        <v>99036.0518</v>
      </c>
      <c r="D65" s="120">
        <v>-18.3375494110983</v>
      </c>
      <c r="E65" s="121">
        <v>6.68552770931887</v>
      </c>
      <c r="F65" s="127"/>
      <c r="G65" s="127"/>
      <c r="H65" s="127"/>
      <c r="I65" s="127"/>
      <c r="J65" s="127"/>
      <c r="K65" s="127"/>
      <c r="L65" s="127"/>
      <c r="M65" s="127"/>
    </row>
    <row r="66" spans="2:13" ht="12.75">
      <c r="B66" s="165" t="s">
        <v>260</v>
      </c>
      <c r="C66" s="170">
        <v>115842.3978</v>
      </c>
      <c r="D66" s="186" t="s">
        <v>235</v>
      </c>
      <c r="E66" s="186" t="s">
        <v>235</v>
      </c>
      <c r="F66" s="127"/>
      <c r="G66" s="127"/>
      <c r="H66" s="127"/>
      <c r="I66" s="127"/>
      <c r="J66" s="127"/>
      <c r="K66" s="127"/>
      <c r="L66" s="127"/>
      <c r="M66" s="127"/>
    </row>
    <row r="67" spans="2:13" ht="12.75">
      <c r="B67" s="165" t="s">
        <v>78</v>
      </c>
      <c r="C67" s="170">
        <v>-33217.9692</v>
      </c>
      <c r="D67" s="120">
        <v>542.069056720752</v>
      </c>
      <c r="E67" s="121">
        <v>41.2919385359953</v>
      </c>
      <c r="F67" s="127"/>
      <c r="G67" s="127"/>
      <c r="H67" s="127"/>
      <c r="I67" s="127"/>
      <c r="J67" s="127"/>
      <c r="K67" s="127"/>
      <c r="L67" s="127"/>
      <c r="M67" s="127"/>
    </row>
    <row r="68" spans="2:13" ht="12.75">
      <c r="B68" s="166" t="s">
        <v>261</v>
      </c>
      <c r="C68" s="171">
        <v>-48975.2947</v>
      </c>
      <c r="D68" s="120">
        <v>194.019841001796</v>
      </c>
      <c r="E68" s="121">
        <v>48.580692212364</v>
      </c>
      <c r="F68" s="127"/>
      <c r="G68" s="127"/>
      <c r="H68" s="127"/>
      <c r="I68" s="127"/>
      <c r="J68" s="127"/>
      <c r="K68" s="127"/>
      <c r="L68" s="127"/>
      <c r="M68" s="127"/>
    </row>
    <row r="69" spans="2:13" ht="12.75">
      <c r="B69" s="167" t="s">
        <v>79</v>
      </c>
      <c r="C69" s="172">
        <v>1753428.8539</v>
      </c>
      <c r="D69" s="194" t="s">
        <v>235</v>
      </c>
      <c r="E69" s="194" t="s">
        <v>235</v>
      </c>
      <c r="F69" s="127"/>
      <c r="G69" s="127"/>
      <c r="H69" s="127"/>
      <c r="I69" s="127"/>
      <c r="J69" s="127"/>
      <c r="K69" s="127"/>
      <c r="L69" s="127"/>
      <c r="M69" s="127"/>
    </row>
    <row r="70" spans="2:13" ht="12.75">
      <c r="B70" s="164" t="s">
        <v>80</v>
      </c>
      <c r="C70" s="173">
        <v>854729.4056</v>
      </c>
      <c r="D70" s="120">
        <v>-0.119740515171621</v>
      </c>
      <c r="E70" s="121">
        <v>7.72206048584363</v>
      </c>
      <c r="F70" s="127"/>
      <c r="G70" s="127"/>
      <c r="H70" s="127"/>
      <c r="I70" s="127"/>
      <c r="J70" s="127"/>
      <c r="K70" s="127"/>
      <c r="L70" s="127"/>
      <c r="M70" s="127"/>
    </row>
    <row r="71" spans="2:13" ht="12.75">
      <c r="B71" s="166" t="s">
        <v>48</v>
      </c>
      <c r="C71" s="171">
        <v>292040.768</v>
      </c>
      <c r="D71" s="120">
        <v>30.8449287460494</v>
      </c>
      <c r="E71" s="121">
        <v>31.9313180539322</v>
      </c>
      <c r="F71" s="127"/>
      <c r="G71" s="127"/>
      <c r="H71" s="127"/>
      <c r="I71" s="127"/>
      <c r="J71" s="127"/>
      <c r="K71" s="127"/>
      <c r="L71" s="127"/>
      <c r="M71" s="127"/>
    </row>
    <row r="72" spans="2:13" ht="12.75">
      <c r="B72" s="167" t="s">
        <v>81</v>
      </c>
      <c r="C72" s="172">
        <v>606658.6803</v>
      </c>
      <c r="D72" s="194" t="s">
        <v>235</v>
      </c>
      <c r="E72" s="194" t="s">
        <v>235</v>
      </c>
      <c r="F72" s="127"/>
      <c r="G72" s="127"/>
      <c r="H72" s="127"/>
      <c r="I72" s="127"/>
      <c r="J72" s="127"/>
      <c r="K72" s="127"/>
      <c r="L72" s="127"/>
      <c r="M72" s="127"/>
    </row>
    <row r="73" spans="2:13" ht="12.75">
      <c r="B73" s="164" t="s">
        <v>207</v>
      </c>
      <c r="C73" s="173">
        <v>75829.7798</v>
      </c>
      <c r="D73" s="120">
        <v>26.4754879676887</v>
      </c>
      <c r="E73" s="121">
        <v>-17.909106835106</v>
      </c>
      <c r="F73" s="127"/>
      <c r="G73" s="127"/>
      <c r="H73" s="127"/>
      <c r="I73" s="127"/>
      <c r="J73" s="127"/>
      <c r="K73" s="127"/>
      <c r="L73" s="127"/>
      <c r="M73" s="127"/>
    </row>
    <row r="74" spans="2:13" ht="12.75">
      <c r="B74" s="167" t="s">
        <v>217</v>
      </c>
      <c r="C74" s="172">
        <v>682488.46</v>
      </c>
      <c r="D74" s="194" t="s">
        <v>235</v>
      </c>
      <c r="E74" s="194" t="s">
        <v>235</v>
      </c>
      <c r="F74" s="127"/>
      <c r="G74" s="127"/>
      <c r="H74" s="127"/>
      <c r="I74" s="127"/>
      <c r="J74" s="127"/>
      <c r="K74" s="127"/>
      <c r="L74" s="127"/>
      <c r="M74" s="127"/>
    </row>
    <row r="75" spans="2:13" ht="12.75">
      <c r="B75" s="165" t="s">
        <v>101</v>
      </c>
      <c r="C75" s="170">
        <v>-32771.3828</v>
      </c>
      <c r="D75" s="120">
        <v>-41.1925367403189</v>
      </c>
      <c r="E75" s="121">
        <v>11.9876580665236</v>
      </c>
      <c r="F75" s="127"/>
      <c r="G75" s="127"/>
      <c r="H75" s="127"/>
      <c r="I75" s="127"/>
      <c r="J75" s="127"/>
      <c r="K75" s="127"/>
      <c r="L75" s="127"/>
      <c r="M75" s="127"/>
    </row>
    <row r="76" spans="2:13" ht="12.75">
      <c r="B76" s="167" t="s">
        <v>96</v>
      </c>
      <c r="C76" s="172">
        <v>649717.0772</v>
      </c>
      <c r="D76" s="194" t="s">
        <v>235</v>
      </c>
      <c r="E76" s="194" t="s">
        <v>235</v>
      </c>
      <c r="F76" s="127"/>
      <c r="G76" s="127"/>
      <c r="H76" s="127"/>
      <c r="I76" s="127"/>
      <c r="J76" s="127"/>
      <c r="K76" s="127"/>
      <c r="L76" s="127"/>
      <c r="M76" s="127"/>
    </row>
    <row r="77" spans="2:13" ht="12.75">
      <c r="B77" s="166" t="s">
        <v>91</v>
      </c>
      <c r="C77" s="171">
        <v>113586.3994</v>
      </c>
      <c r="D77" s="186">
        <v>17.2524642747757</v>
      </c>
      <c r="E77" s="193">
        <v>14.2145018728351</v>
      </c>
      <c r="F77" s="127"/>
      <c r="G77" s="127"/>
      <c r="H77" s="127"/>
      <c r="I77" s="127"/>
      <c r="J77" s="127"/>
      <c r="K77" s="127"/>
      <c r="L77" s="127"/>
      <c r="M77" s="127"/>
    </row>
    <row r="78" spans="2:13" ht="12.75">
      <c r="B78" s="167" t="s">
        <v>82</v>
      </c>
      <c r="C78" s="174">
        <v>536130.6777</v>
      </c>
      <c r="D78" s="194" t="s">
        <v>235</v>
      </c>
      <c r="E78" s="194" t="s">
        <v>235</v>
      </c>
      <c r="F78" s="127"/>
      <c r="G78" s="127"/>
      <c r="H78" s="127"/>
      <c r="I78" s="127"/>
      <c r="J78" s="127"/>
      <c r="K78" s="127"/>
      <c r="L78" s="127"/>
      <c r="M78" s="127"/>
    </row>
    <row r="79" spans="3:13" ht="12.75">
      <c r="C79" s="39"/>
      <c r="F79" s="127"/>
      <c r="G79" s="127"/>
      <c r="H79" s="127"/>
      <c r="I79" s="127"/>
      <c r="J79" s="127"/>
      <c r="K79" s="127"/>
      <c r="L79" s="127"/>
      <c r="M79" s="127"/>
    </row>
    <row r="80" spans="2:13" ht="12.75">
      <c r="B80" s="48" t="s">
        <v>27</v>
      </c>
      <c r="F80" s="127"/>
      <c r="G80" s="127"/>
      <c r="H80" s="127"/>
      <c r="I80" s="127"/>
      <c r="J80" s="127"/>
      <c r="K80" s="127"/>
      <c r="L80" s="127"/>
      <c r="M80" s="127"/>
    </row>
    <row r="81" spans="2:13" ht="12.75">
      <c r="B81" s="179" t="s">
        <v>123</v>
      </c>
      <c r="C81" s="180">
        <v>260610.9299</v>
      </c>
      <c r="D81" s="176">
        <v>11.6425951254705</v>
      </c>
      <c r="E81" s="177">
        <v>4.315173201043</v>
      </c>
      <c r="F81" s="127"/>
      <c r="G81" s="127"/>
      <c r="H81" s="127"/>
      <c r="I81" s="127"/>
      <c r="J81" s="127"/>
      <c r="K81" s="127"/>
      <c r="L81" s="127"/>
      <c r="M81" s="127"/>
    </row>
    <row r="82" spans="6:13" ht="12.75">
      <c r="F82" s="127"/>
      <c r="G82" s="127"/>
      <c r="H82" s="127"/>
      <c r="I82" s="127"/>
      <c r="J82" s="127"/>
      <c r="K82" s="127"/>
      <c r="L82" s="127"/>
      <c r="M82" s="127"/>
    </row>
    <row r="83" spans="2:13" ht="12.75">
      <c r="B83" s="3" t="s">
        <v>59</v>
      </c>
      <c r="F83" s="127"/>
      <c r="G83" s="127"/>
      <c r="H83" s="127"/>
      <c r="I83" s="127"/>
      <c r="J83" s="127"/>
      <c r="K83" s="127"/>
      <c r="L83" s="127"/>
      <c r="M83" s="127"/>
    </row>
    <row r="84" ht="12.75">
      <c r="B84" s="3" t="s">
        <v>136</v>
      </c>
    </row>
    <row r="85" ht="12.75">
      <c r="B85" s="3" t="s">
        <v>131</v>
      </c>
    </row>
    <row r="86" ht="12.75">
      <c r="B86" s="3" t="s">
        <v>135</v>
      </c>
    </row>
    <row r="88" spans="2:12" ht="12.75">
      <c r="B88" s="3" t="s">
        <v>100</v>
      </c>
      <c r="E88"/>
      <c r="I88" s="128"/>
      <c r="J88" s="6"/>
      <c r="K88" s="129"/>
      <c r="L88" s="129"/>
    </row>
  </sheetData>
  <mergeCells count="6">
    <mergeCell ref="B3:F3"/>
    <mergeCell ref="D61:E61"/>
    <mergeCell ref="B7:F7"/>
    <mergeCell ref="B59:F59"/>
    <mergeCell ref="B4:F4"/>
    <mergeCell ref="B5:F5"/>
  </mergeCells>
  <hyperlinks>
    <hyperlink ref="F1" location="Indice!A1" display="Volver"/>
  </hyperlinks>
  <printOptions horizontalCentered="1"/>
  <pageMargins left="0.15748031496062992" right="0.2755905511811024" top="0.35433070866141736" bottom="0.31496062992125984" header="0" footer="0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7.875" style="3" customWidth="1"/>
    <col min="2" max="2" width="17.875" style="3" bestFit="1" customWidth="1"/>
    <col min="3" max="6" width="17.625" style="3" customWidth="1"/>
    <col min="7" max="7" width="14.875" style="3" bestFit="1" customWidth="1"/>
    <col min="8" max="8" width="17.625" style="3" customWidth="1"/>
    <col min="9" max="12" width="12.875" style="3" customWidth="1"/>
    <col min="13" max="13" width="15.00390625" style="3" bestFit="1" customWidth="1"/>
    <col min="14" max="14" width="10.50390625" style="3" bestFit="1" customWidth="1"/>
    <col min="15" max="15" width="1.875" style="3" customWidth="1"/>
    <col min="16" max="17" width="15.125" style="3" bestFit="1" customWidth="1"/>
    <col min="18" max="16384" width="12.00390625" style="3" customWidth="1"/>
  </cols>
  <sheetData>
    <row r="1" spans="1:17" ht="12.75">
      <c r="A1" s="66" t="s">
        <v>137</v>
      </c>
      <c r="Q1" s="70" t="s">
        <v>144</v>
      </c>
    </row>
    <row r="2" ht="12.75">
      <c r="A2" s="66" t="s">
        <v>138</v>
      </c>
    </row>
    <row r="3" ht="12.75">
      <c r="A3" s="66"/>
    </row>
    <row r="4" spans="1:17" ht="18">
      <c r="A4" s="205" t="s">
        <v>290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ht="12.75">
      <c r="A5" s="206" t="s">
        <v>88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16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s="29" customFormat="1" ht="12.75">
      <c r="A7" s="33"/>
      <c r="B7" s="202" t="s">
        <v>0</v>
      </c>
      <c r="C7" s="203"/>
      <c r="D7" s="203"/>
      <c r="E7" s="203"/>
      <c r="F7" s="204"/>
      <c r="G7" s="33" t="s">
        <v>115</v>
      </c>
      <c r="H7" s="33" t="s">
        <v>115</v>
      </c>
      <c r="I7" s="33" t="s">
        <v>60</v>
      </c>
      <c r="J7" s="203" t="s">
        <v>37</v>
      </c>
      <c r="K7" s="203"/>
      <c r="L7" s="204"/>
      <c r="M7" s="33" t="s">
        <v>115</v>
      </c>
      <c r="N7" s="33" t="s">
        <v>1</v>
      </c>
      <c r="O7" s="34"/>
      <c r="P7" s="33" t="s">
        <v>0</v>
      </c>
      <c r="Q7" s="33" t="s">
        <v>0</v>
      </c>
    </row>
    <row r="8" spans="1:17" s="29" customFormat="1" ht="12.75">
      <c r="A8" s="35" t="s">
        <v>20</v>
      </c>
      <c r="B8" s="36" t="s">
        <v>93</v>
      </c>
      <c r="C8" s="35" t="s">
        <v>94</v>
      </c>
      <c r="D8" s="202" t="s">
        <v>92</v>
      </c>
      <c r="E8" s="203"/>
      <c r="F8" s="204"/>
      <c r="G8" s="35" t="s">
        <v>258</v>
      </c>
      <c r="H8" s="35" t="s">
        <v>258</v>
      </c>
      <c r="I8" s="35" t="s">
        <v>2</v>
      </c>
      <c r="J8" s="36" t="s">
        <v>93</v>
      </c>
      <c r="K8" s="35" t="s">
        <v>132</v>
      </c>
      <c r="L8" s="35" t="s">
        <v>102</v>
      </c>
      <c r="M8" s="35" t="s">
        <v>116</v>
      </c>
      <c r="N8" s="35" t="s">
        <v>3</v>
      </c>
      <c r="O8" s="34"/>
      <c r="P8" s="35" t="s">
        <v>61</v>
      </c>
      <c r="Q8" s="35" t="s">
        <v>36</v>
      </c>
    </row>
    <row r="9" spans="1:17" s="29" customFormat="1" ht="12.75">
      <c r="A9" s="37"/>
      <c r="B9" s="38"/>
      <c r="C9" s="37"/>
      <c r="D9" s="37" t="s">
        <v>93</v>
      </c>
      <c r="E9" s="37" t="s">
        <v>35</v>
      </c>
      <c r="F9" s="37" t="s">
        <v>103</v>
      </c>
      <c r="G9" s="37" t="s">
        <v>257</v>
      </c>
      <c r="H9" s="37" t="s">
        <v>259</v>
      </c>
      <c r="I9" s="37"/>
      <c r="J9" s="38"/>
      <c r="K9" s="37" t="s">
        <v>133</v>
      </c>
      <c r="L9" s="37"/>
      <c r="M9" s="37" t="s">
        <v>117</v>
      </c>
      <c r="N9" s="37"/>
      <c r="O9" s="34"/>
      <c r="P9" s="37"/>
      <c r="Q9" s="37"/>
    </row>
    <row r="10" spans="2:17" ht="12.75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P10" s="39"/>
      <c r="Q10" s="39"/>
    </row>
    <row r="11" spans="1:17" s="29" customFormat="1" ht="12.75">
      <c r="A11" s="40" t="s">
        <v>16</v>
      </c>
      <c r="B11" s="41">
        <v>40321634.3448</v>
      </c>
      <c r="C11" s="41">
        <v>28151020.9778</v>
      </c>
      <c r="D11" s="41">
        <v>12170613.3663</v>
      </c>
      <c r="E11" s="41">
        <v>4962700.7259</v>
      </c>
      <c r="F11" s="41">
        <v>7207912.6404</v>
      </c>
      <c r="G11" s="41">
        <v>4285724.7751</v>
      </c>
      <c r="H11" s="41">
        <v>684478.5165</v>
      </c>
      <c r="I11" s="41">
        <v>52835911.9252</v>
      </c>
      <c r="J11" s="41">
        <v>31195027.8836</v>
      </c>
      <c r="K11" s="41">
        <v>6253181.9113</v>
      </c>
      <c r="L11" s="41">
        <v>24941845.9723</v>
      </c>
      <c r="M11" s="41">
        <v>5510985.3813</v>
      </c>
      <c r="N11" s="41">
        <v>3671541.2326</v>
      </c>
      <c r="P11" s="41">
        <v>3535213.6596</v>
      </c>
      <c r="Q11" s="41">
        <v>340555.2739</v>
      </c>
    </row>
    <row r="12" spans="1:17" ht="12.75">
      <c r="A12" s="43" t="s">
        <v>28</v>
      </c>
      <c r="B12" s="43">
        <v>181197.3324</v>
      </c>
      <c r="C12" s="43">
        <v>180211.7066</v>
      </c>
      <c r="D12" s="43">
        <v>985.6255</v>
      </c>
      <c r="E12" s="43">
        <v>18.1564</v>
      </c>
      <c r="F12" s="43">
        <v>967.4691</v>
      </c>
      <c r="G12" s="43">
        <v>173469.2711</v>
      </c>
      <c r="H12" s="43">
        <v>51856.0865</v>
      </c>
      <c r="I12" s="43">
        <v>538196.3602</v>
      </c>
      <c r="J12" s="43">
        <v>161731.8589</v>
      </c>
      <c r="K12" s="43">
        <v>17687.9713</v>
      </c>
      <c r="L12" s="43">
        <v>144043.8876</v>
      </c>
      <c r="M12" s="43">
        <v>0</v>
      </c>
      <c r="N12" s="43">
        <v>100478.3554</v>
      </c>
      <c r="P12" s="43">
        <v>19441.7289</v>
      </c>
      <c r="Q12" s="43">
        <v>3152.9198</v>
      </c>
    </row>
    <row r="13" spans="1:17" ht="12.75">
      <c r="A13" s="44" t="s">
        <v>25</v>
      </c>
      <c r="B13" s="44">
        <v>3864686.6422</v>
      </c>
      <c r="C13" s="44">
        <v>2564919.5102</v>
      </c>
      <c r="D13" s="44">
        <v>1299767.1313</v>
      </c>
      <c r="E13" s="44">
        <v>343715.2488</v>
      </c>
      <c r="F13" s="44">
        <v>956051.8825</v>
      </c>
      <c r="G13" s="44">
        <v>151581.1126</v>
      </c>
      <c r="H13" s="44">
        <v>65020.3866</v>
      </c>
      <c r="I13" s="44">
        <v>4523484.9072</v>
      </c>
      <c r="J13" s="44">
        <v>3080591.7564</v>
      </c>
      <c r="K13" s="44">
        <v>336782.7986</v>
      </c>
      <c r="L13" s="44">
        <v>2743808.9578</v>
      </c>
      <c r="M13" s="44">
        <v>307773.6585</v>
      </c>
      <c r="N13" s="44">
        <v>265814.6842</v>
      </c>
      <c r="P13" s="44">
        <v>343223.5475</v>
      </c>
      <c r="Q13" s="44">
        <v>41031.5289</v>
      </c>
    </row>
    <row r="14" spans="1:17" ht="12.75">
      <c r="A14" s="44" t="s">
        <v>5</v>
      </c>
      <c r="B14" s="44">
        <v>1295565.451</v>
      </c>
      <c r="C14" s="44">
        <v>1153548.8824</v>
      </c>
      <c r="D14" s="44">
        <v>142016.5682</v>
      </c>
      <c r="E14" s="44">
        <v>34302.421</v>
      </c>
      <c r="F14" s="44">
        <v>107714.1472</v>
      </c>
      <c r="G14" s="44">
        <v>202532.5365</v>
      </c>
      <c r="H14" s="44">
        <v>27899.2048</v>
      </c>
      <c r="I14" s="44">
        <v>1721444.5059</v>
      </c>
      <c r="J14" s="44">
        <v>945166.6633</v>
      </c>
      <c r="K14" s="44">
        <v>140239.9841</v>
      </c>
      <c r="L14" s="44">
        <v>804926.6792</v>
      </c>
      <c r="M14" s="44">
        <v>206747.4818</v>
      </c>
      <c r="N14" s="44">
        <v>124626.6097</v>
      </c>
      <c r="P14" s="44">
        <v>155203.104</v>
      </c>
      <c r="Q14" s="44">
        <v>3127.9962</v>
      </c>
    </row>
    <row r="15" spans="1:17" ht="12.75">
      <c r="A15" s="44" t="s">
        <v>6</v>
      </c>
      <c r="B15" s="44">
        <v>3049157.0111</v>
      </c>
      <c r="C15" s="44">
        <v>2366606.43</v>
      </c>
      <c r="D15" s="44">
        <v>682550.5806</v>
      </c>
      <c r="E15" s="44">
        <v>393712.2985</v>
      </c>
      <c r="F15" s="44">
        <v>288838.2821</v>
      </c>
      <c r="G15" s="44">
        <v>41903.5872</v>
      </c>
      <c r="H15" s="44">
        <v>3302.8003</v>
      </c>
      <c r="I15" s="44">
        <v>3349205.2826</v>
      </c>
      <c r="J15" s="44">
        <v>1736589.8644</v>
      </c>
      <c r="K15" s="44">
        <v>212368.0599</v>
      </c>
      <c r="L15" s="44">
        <v>1524221.8045</v>
      </c>
      <c r="M15" s="44">
        <v>536627.0336</v>
      </c>
      <c r="N15" s="44">
        <v>392211.47</v>
      </c>
      <c r="P15" s="44">
        <v>234945.363</v>
      </c>
      <c r="Q15" s="44">
        <v>20856.2648</v>
      </c>
    </row>
    <row r="16" spans="1:17" ht="12.75">
      <c r="A16" s="44" t="s">
        <v>7</v>
      </c>
      <c r="B16" s="44">
        <v>8741194.6154</v>
      </c>
      <c r="C16" s="44">
        <v>6307277.7602</v>
      </c>
      <c r="D16" s="44">
        <v>2433916.8546</v>
      </c>
      <c r="E16" s="44">
        <v>974580.7559</v>
      </c>
      <c r="F16" s="44">
        <v>1459336.0987</v>
      </c>
      <c r="G16" s="44">
        <v>738750.0662</v>
      </c>
      <c r="H16" s="44">
        <v>33019.2891</v>
      </c>
      <c r="I16" s="44">
        <v>10945244.8784</v>
      </c>
      <c r="J16" s="44">
        <v>6947514.9693</v>
      </c>
      <c r="K16" s="44">
        <v>1673024.2482</v>
      </c>
      <c r="L16" s="44">
        <v>5274490.7211</v>
      </c>
      <c r="M16" s="44">
        <v>1276777.212</v>
      </c>
      <c r="N16" s="44">
        <v>637118.882</v>
      </c>
      <c r="P16" s="44">
        <v>898750.8885</v>
      </c>
      <c r="Q16" s="44">
        <v>65053.0804</v>
      </c>
    </row>
    <row r="17" spans="1:17" ht="12.75">
      <c r="A17" s="44" t="s">
        <v>236</v>
      </c>
      <c r="B17" s="44">
        <v>6071023.4998</v>
      </c>
      <c r="C17" s="44">
        <v>4446028.4738</v>
      </c>
      <c r="D17" s="44">
        <v>1624995.0255</v>
      </c>
      <c r="E17" s="44">
        <v>710518.7866</v>
      </c>
      <c r="F17" s="44">
        <v>914476.2389</v>
      </c>
      <c r="G17" s="44">
        <v>799928.3136</v>
      </c>
      <c r="H17" s="44">
        <v>44626.5742</v>
      </c>
      <c r="I17" s="44">
        <v>8245963.9172</v>
      </c>
      <c r="J17" s="44">
        <v>4586533.9539</v>
      </c>
      <c r="K17" s="44">
        <v>1204040.2346</v>
      </c>
      <c r="L17" s="44">
        <v>3382493.7193</v>
      </c>
      <c r="M17" s="44">
        <v>649148.3916</v>
      </c>
      <c r="N17" s="44">
        <v>463524.008</v>
      </c>
      <c r="P17" s="44">
        <v>597430.6308</v>
      </c>
      <c r="Q17" s="44">
        <v>56997.014</v>
      </c>
    </row>
    <row r="18" spans="1:17" ht="12.75">
      <c r="A18" s="44" t="s">
        <v>8</v>
      </c>
      <c r="B18" s="44">
        <v>1931575.7442</v>
      </c>
      <c r="C18" s="44">
        <v>1541018.8023</v>
      </c>
      <c r="D18" s="44">
        <v>390556.9414</v>
      </c>
      <c r="E18" s="44">
        <v>55766.3825</v>
      </c>
      <c r="F18" s="44">
        <v>334790.5589</v>
      </c>
      <c r="G18" s="44">
        <v>79726.4361</v>
      </c>
      <c r="H18" s="44">
        <v>960.0449</v>
      </c>
      <c r="I18" s="44">
        <v>2241844.6582</v>
      </c>
      <c r="J18" s="44">
        <v>1137994.548</v>
      </c>
      <c r="K18" s="44">
        <v>161952.1431</v>
      </c>
      <c r="L18" s="44">
        <v>976042.4049</v>
      </c>
      <c r="M18" s="44">
        <v>543671.6923</v>
      </c>
      <c r="N18" s="44">
        <v>155404.0571</v>
      </c>
      <c r="P18" s="44">
        <v>79875.5083</v>
      </c>
      <c r="Q18" s="44">
        <v>29526.4899</v>
      </c>
    </row>
    <row r="19" spans="1:17" ht="12.75">
      <c r="A19" s="44" t="s">
        <v>31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200437.722</v>
      </c>
      <c r="H19" s="44">
        <v>109000.2697</v>
      </c>
      <c r="I19" s="44">
        <v>537438.6373</v>
      </c>
      <c r="J19" s="44">
        <v>197297.7733</v>
      </c>
      <c r="K19" s="44">
        <v>24524.6672</v>
      </c>
      <c r="L19" s="44">
        <v>172773.1061</v>
      </c>
      <c r="M19" s="44">
        <v>0</v>
      </c>
      <c r="N19" s="44">
        <v>67090.5034</v>
      </c>
      <c r="P19" s="44">
        <v>0</v>
      </c>
      <c r="Q19" s="44">
        <v>0</v>
      </c>
    </row>
    <row r="20" spans="1:17" ht="12.75">
      <c r="A20" s="44" t="s">
        <v>11</v>
      </c>
      <c r="B20" s="44">
        <v>406642.7144</v>
      </c>
      <c r="C20" s="44">
        <v>13532.7699</v>
      </c>
      <c r="D20" s="44">
        <v>393109.9441</v>
      </c>
      <c r="E20" s="44">
        <v>322867.0344</v>
      </c>
      <c r="F20" s="44">
        <v>70242.9097</v>
      </c>
      <c r="G20" s="44">
        <v>24495.1562</v>
      </c>
      <c r="H20" s="44">
        <v>2166.3307</v>
      </c>
      <c r="I20" s="44">
        <v>489686.9209</v>
      </c>
      <c r="J20" s="44">
        <v>309702.2773</v>
      </c>
      <c r="K20" s="44">
        <v>11419.3083</v>
      </c>
      <c r="L20" s="44">
        <v>298282.969</v>
      </c>
      <c r="M20" s="44">
        <v>58785.8615</v>
      </c>
      <c r="N20" s="44">
        <v>52345.3132</v>
      </c>
      <c r="P20" s="44">
        <v>0</v>
      </c>
      <c r="Q20" s="44">
        <v>1006.932</v>
      </c>
    </row>
    <row r="21" spans="1:17" ht="12.75">
      <c r="A21" s="44" t="s">
        <v>24</v>
      </c>
      <c r="B21" s="44">
        <v>137174.3558</v>
      </c>
      <c r="C21" s="44">
        <v>137174.3555</v>
      </c>
      <c r="D21" s="44">
        <v>0</v>
      </c>
      <c r="E21" s="44">
        <v>0</v>
      </c>
      <c r="F21" s="44">
        <v>0</v>
      </c>
      <c r="G21" s="44">
        <v>8382.7992</v>
      </c>
      <c r="H21" s="44">
        <v>10.8209</v>
      </c>
      <c r="I21" s="44">
        <v>163910.4952</v>
      </c>
      <c r="J21" s="44">
        <v>112458.452</v>
      </c>
      <c r="K21" s="44">
        <v>7451.2852</v>
      </c>
      <c r="L21" s="44">
        <v>105007.1668</v>
      </c>
      <c r="M21" s="44">
        <v>0</v>
      </c>
      <c r="N21" s="44">
        <v>16208.4974</v>
      </c>
      <c r="P21" s="44">
        <v>11640.1244</v>
      </c>
      <c r="Q21" s="44">
        <v>1502.7343</v>
      </c>
    </row>
    <row r="22" spans="1:17" ht="12.75">
      <c r="A22" s="44" t="s">
        <v>29</v>
      </c>
      <c r="B22" s="44">
        <v>226688.8424</v>
      </c>
      <c r="C22" s="44">
        <v>226618.3162</v>
      </c>
      <c r="D22" s="44">
        <v>70.5259</v>
      </c>
      <c r="E22" s="44">
        <v>70.5259</v>
      </c>
      <c r="F22" s="44">
        <v>0</v>
      </c>
      <c r="G22" s="44">
        <v>139391.8969</v>
      </c>
      <c r="H22" s="44">
        <v>37614.2371</v>
      </c>
      <c r="I22" s="44">
        <v>485720.9644</v>
      </c>
      <c r="J22" s="44">
        <v>258796.3742</v>
      </c>
      <c r="K22" s="44">
        <v>6173.007</v>
      </c>
      <c r="L22" s="44">
        <v>252623.3672</v>
      </c>
      <c r="M22" s="44">
        <v>0</v>
      </c>
      <c r="N22" s="44">
        <v>88388.3863</v>
      </c>
      <c r="P22" s="44">
        <v>34609.1484</v>
      </c>
      <c r="Q22" s="44">
        <v>12.0598</v>
      </c>
    </row>
    <row r="23" spans="1:17" ht="12.75">
      <c r="A23" s="44" t="s">
        <v>9</v>
      </c>
      <c r="B23" s="44">
        <v>123972.0706</v>
      </c>
      <c r="C23" s="44">
        <v>123106.8287</v>
      </c>
      <c r="D23" s="44">
        <v>865.2417</v>
      </c>
      <c r="E23" s="44">
        <v>267.3078</v>
      </c>
      <c r="F23" s="44">
        <v>597.9339</v>
      </c>
      <c r="G23" s="44">
        <v>22685.0888</v>
      </c>
      <c r="H23" s="44">
        <v>866.4602</v>
      </c>
      <c r="I23" s="44">
        <v>191537.2212</v>
      </c>
      <c r="J23" s="44">
        <v>131774.6891</v>
      </c>
      <c r="K23" s="44">
        <v>16742.4986</v>
      </c>
      <c r="L23" s="44">
        <v>115032.1905</v>
      </c>
      <c r="M23" s="44">
        <v>8962.8774</v>
      </c>
      <c r="N23" s="44">
        <v>15795.8452</v>
      </c>
      <c r="P23" s="44">
        <v>6754.7929</v>
      </c>
      <c r="Q23" s="44">
        <v>2321.9607</v>
      </c>
    </row>
    <row r="24" spans="1:17" ht="12.75">
      <c r="A24" s="44" t="s">
        <v>26</v>
      </c>
      <c r="B24" s="44">
        <v>19689.6304</v>
      </c>
      <c r="C24" s="44">
        <v>19677.6948</v>
      </c>
      <c r="D24" s="44">
        <v>11.9353</v>
      </c>
      <c r="E24" s="44">
        <v>11.9353</v>
      </c>
      <c r="F24" s="44">
        <v>0</v>
      </c>
      <c r="G24" s="44">
        <v>36939.7953</v>
      </c>
      <c r="H24" s="44">
        <v>929.5071</v>
      </c>
      <c r="I24" s="44">
        <v>81904.5718</v>
      </c>
      <c r="J24" s="44">
        <v>36623.6321</v>
      </c>
      <c r="K24" s="44">
        <v>3263.3644</v>
      </c>
      <c r="L24" s="44">
        <v>33360.2677</v>
      </c>
      <c r="M24" s="44">
        <v>0</v>
      </c>
      <c r="N24" s="44">
        <v>8642.524</v>
      </c>
      <c r="P24" s="44">
        <v>596.5624</v>
      </c>
      <c r="Q24" s="44">
        <v>289.6278</v>
      </c>
    </row>
    <row r="25" spans="1:17" ht="12.75">
      <c r="A25" s="44" t="s">
        <v>243</v>
      </c>
      <c r="B25" s="44">
        <v>166106.9445</v>
      </c>
      <c r="C25" s="44">
        <v>231.2585</v>
      </c>
      <c r="D25" s="44">
        <v>165875.6858</v>
      </c>
      <c r="E25" s="44">
        <v>163670.2607</v>
      </c>
      <c r="F25" s="44">
        <v>2205.4251</v>
      </c>
      <c r="G25" s="44">
        <v>495.9792</v>
      </c>
      <c r="H25" s="44">
        <v>0</v>
      </c>
      <c r="I25" s="44">
        <v>189995.4341</v>
      </c>
      <c r="J25" s="44">
        <v>151219.7061</v>
      </c>
      <c r="K25" s="44">
        <v>3306.9216</v>
      </c>
      <c r="L25" s="44">
        <v>147912.7845</v>
      </c>
      <c r="M25" s="44">
        <v>2015.7574</v>
      </c>
      <c r="N25" s="44">
        <v>20894.5143</v>
      </c>
      <c r="P25" s="44">
        <v>0</v>
      </c>
      <c r="Q25" s="44">
        <v>526.2918</v>
      </c>
    </row>
    <row r="26" spans="1:17" ht="12.75">
      <c r="A26" s="44" t="s">
        <v>30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42014.2604</v>
      </c>
      <c r="H26" s="44">
        <v>2828.1078</v>
      </c>
      <c r="I26" s="44">
        <v>99911.6423</v>
      </c>
      <c r="J26" s="44">
        <v>67283.7934</v>
      </c>
      <c r="K26" s="44">
        <v>727.1768</v>
      </c>
      <c r="L26" s="44">
        <v>66556.6166</v>
      </c>
      <c r="M26" s="44">
        <v>0</v>
      </c>
      <c r="N26" s="44">
        <v>16076.2956</v>
      </c>
      <c r="P26" s="44">
        <v>0</v>
      </c>
      <c r="Q26" s="44">
        <v>0</v>
      </c>
    </row>
    <row r="27" spans="1:17" ht="12.75">
      <c r="A27" s="44" t="s">
        <v>22</v>
      </c>
      <c r="B27" s="44">
        <v>185628.3533</v>
      </c>
      <c r="C27" s="44">
        <v>9651.7032</v>
      </c>
      <c r="D27" s="44">
        <v>175976.6498</v>
      </c>
      <c r="E27" s="44">
        <v>155749.8755</v>
      </c>
      <c r="F27" s="44">
        <v>20226.7743</v>
      </c>
      <c r="G27" s="44">
        <v>3043.8013</v>
      </c>
      <c r="H27" s="44">
        <v>0</v>
      </c>
      <c r="I27" s="44">
        <v>220726.3189</v>
      </c>
      <c r="J27" s="44">
        <v>164150.7389</v>
      </c>
      <c r="K27" s="44">
        <v>3138.9139</v>
      </c>
      <c r="L27" s="44">
        <v>161011.825</v>
      </c>
      <c r="M27" s="44">
        <v>20169.0529</v>
      </c>
      <c r="N27" s="44">
        <v>22992.8718</v>
      </c>
      <c r="P27" s="44">
        <v>0</v>
      </c>
      <c r="Q27" s="44">
        <v>249.824</v>
      </c>
    </row>
    <row r="28" spans="1:17" ht="12.75">
      <c r="A28" s="44" t="s">
        <v>10</v>
      </c>
      <c r="B28" s="44">
        <v>11204961.7254</v>
      </c>
      <c r="C28" s="44">
        <v>6989351.5852</v>
      </c>
      <c r="D28" s="44">
        <v>4215610.1396</v>
      </c>
      <c r="E28" s="44">
        <v>1636541.6041</v>
      </c>
      <c r="F28" s="44">
        <v>2579068.5355</v>
      </c>
      <c r="G28" s="44">
        <v>1325981.3589</v>
      </c>
      <c r="H28" s="44">
        <v>285434.2948</v>
      </c>
      <c r="I28" s="44">
        <v>15234770.742</v>
      </c>
      <c r="J28" s="44">
        <v>8979167.8196</v>
      </c>
      <c r="K28" s="44">
        <v>2063494.3693</v>
      </c>
      <c r="L28" s="44">
        <v>6915673.4503</v>
      </c>
      <c r="M28" s="44">
        <v>1536112.3224</v>
      </c>
      <c r="N28" s="44">
        <v>949933.8754</v>
      </c>
      <c r="P28" s="44">
        <v>972509.8969</v>
      </c>
      <c r="Q28" s="44">
        <v>88060.5875</v>
      </c>
    </row>
    <row r="29" spans="1:17" ht="12.75">
      <c r="A29" s="44" t="s">
        <v>32</v>
      </c>
      <c r="B29" s="44">
        <v>1462515.3685</v>
      </c>
      <c r="C29" s="44">
        <v>1337052.2106</v>
      </c>
      <c r="D29" s="44">
        <v>125463.1573</v>
      </c>
      <c r="E29" s="44">
        <v>31313.9915</v>
      </c>
      <c r="F29" s="44">
        <v>94149.1658</v>
      </c>
      <c r="G29" s="44">
        <v>170085.1311</v>
      </c>
      <c r="H29" s="44">
        <v>2948.6289</v>
      </c>
      <c r="I29" s="44">
        <v>1877273.4364</v>
      </c>
      <c r="J29" s="44">
        <v>1102150.4065</v>
      </c>
      <c r="K29" s="44">
        <v>111209.1451</v>
      </c>
      <c r="L29" s="44">
        <v>990941.2614</v>
      </c>
      <c r="M29" s="44">
        <v>219873.3345</v>
      </c>
      <c r="N29" s="44">
        <v>131150.7308</v>
      </c>
      <c r="P29" s="44">
        <v>94490.7262</v>
      </c>
      <c r="Q29" s="44">
        <v>9207.9413</v>
      </c>
    </row>
    <row r="30" spans="1:17" ht="12.75">
      <c r="A30" s="45" t="s">
        <v>21</v>
      </c>
      <c r="B30" s="45">
        <v>1253854.0424</v>
      </c>
      <c r="C30" s="45">
        <v>735012.6851</v>
      </c>
      <c r="D30" s="45">
        <v>518841.3567</v>
      </c>
      <c r="E30" s="45">
        <v>139594.1393</v>
      </c>
      <c r="F30" s="45">
        <v>379247.2174</v>
      </c>
      <c r="G30" s="45">
        <v>123880.459</v>
      </c>
      <c r="H30" s="45">
        <v>15995.4716</v>
      </c>
      <c r="I30" s="45">
        <v>1697651.0302</v>
      </c>
      <c r="J30" s="45">
        <v>1088278.6052</v>
      </c>
      <c r="K30" s="45">
        <v>255635.8133</v>
      </c>
      <c r="L30" s="45">
        <v>832642.7919</v>
      </c>
      <c r="M30" s="45">
        <v>144320.704</v>
      </c>
      <c r="N30" s="45">
        <v>142843.808</v>
      </c>
      <c r="P30" s="45">
        <v>85741.6369</v>
      </c>
      <c r="Q30" s="45">
        <v>17632.0197</v>
      </c>
    </row>
    <row r="32" spans="1:17" ht="12.75">
      <c r="A32" s="41" t="s">
        <v>134</v>
      </c>
      <c r="B32" s="41">
        <v>6707432.3547</v>
      </c>
      <c r="C32" s="41">
        <v>3355310.4807</v>
      </c>
      <c r="D32" s="41">
        <v>3352121.8736</v>
      </c>
      <c r="E32" s="41">
        <v>695187.7939</v>
      </c>
      <c r="F32" s="41">
        <v>2656934.0797</v>
      </c>
      <c r="G32" s="41">
        <v>2397366.5953</v>
      </c>
      <c r="H32" s="41">
        <v>84435.8628</v>
      </c>
      <c r="I32" s="41">
        <v>10151488.9416</v>
      </c>
      <c r="J32" s="41">
        <v>6219952.6224</v>
      </c>
      <c r="K32" s="41">
        <v>1565903.4713</v>
      </c>
      <c r="L32" s="41">
        <v>4654049.1511</v>
      </c>
      <c r="M32" s="41">
        <v>2311457.962</v>
      </c>
      <c r="N32" s="41">
        <v>448282.34</v>
      </c>
      <c r="P32" s="41">
        <v>253010.4971</v>
      </c>
      <c r="Q32" s="41">
        <v>42275.5573</v>
      </c>
    </row>
    <row r="34" spans="1:17" s="29" customFormat="1" ht="12.75">
      <c r="A34" s="41" t="s">
        <v>23</v>
      </c>
      <c r="B34" s="41">
        <v>2240214.8796</v>
      </c>
      <c r="C34" s="41">
        <v>1440841.8883</v>
      </c>
      <c r="D34" s="41">
        <v>799372.9908</v>
      </c>
      <c r="E34" s="41">
        <v>530145.0854</v>
      </c>
      <c r="F34" s="41">
        <v>269227.9054</v>
      </c>
      <c r="G34" s="41">
        <v>619652.7965</v>
      </c>
      <c r="H34" s="41">
        <v>221433.8222</v>
      </c>
      <c r="I34" s="41">
        <v>4075288.4666</v>
      </c>
      <c r="J34" s="41">
        <v>2221173.4357</v>
      </c>
      <c r="K34" s="41">
        <v>629987.2817</v>
      </c>
      <c r="L34" s="41">
        <v>1591186.154</v>
      </c>
      <c r="M34" s="41">
        <v>232217.5551</v>
      </c>
      <c r="N34" s="41">
        <v>657209.2887</v>
      </c>
      <c r="P34" s="41">
        <v>151506.5143</v>
      </c>
      <c r="Q34" s="41">
        <v>15887.0309</v>
      </c>
    </row>
    <row r="35" spans="1:17" ht="12.75">
      <c r="A35" s="44" t="s">
        <v>34</v>
      </c>
      <c r="B35" s="44">
        <v>1262869.5397</v>
      </c>
      <c r="C35" s="44">
        <v>821423.8659</v>
      </c>
      <c r="D35" s="44">
        <v>441445.6732</v>
      </c>
      <c r="E35" s="44">
        <v>204757.0789</v>
      </c>
      <c r="F35" s="44">
        <v>236688.5943</v>
      </c>
      <c r="G35" s="44">
        <v>92339.2182</v>
      </c>
      <c r="H35" s="44">
        <v>12008.3435</v>
      </c>
      <c r="I35" s="44">
        <v>1639953.1758</v>
      </c>
      <c r="J35" s="44">
        <v>992528.6208</v>
      </c>
      <c r="K35" s="44">
        <v>192706.3962</v>
      </c>
      <c r="L35" s="44">
        <v>799822.2246</v>
      </c>
      <c r="M35" s="44">
        <v>191032.7634</v>
      </c>
      <c r="N35" s="44">
        <v>159426.6374</v>
      </c>
      <c r="P35" s="44">
        <v>88683.4588</v>
      </c>
      <c r="Q35" s="44">
        <v>11764.4326</v>
      </c>
    </row>
    <row r="36" spans="1:17" ht="12.75">
      <c r="A36" s="44" t="s">
        <v>12</v>
      </c>
      <c r="B36" s="44">
        <v>883068.3474</v>
      </c>
      <c r="C36" s="44">
        <v>525200.4026</v>
      </c>
      <c r="D36" s="44">
        <v>357867.9444</v>
      </c>
      <c r="E36" s="44">
        <v>325328.6334</v>
      </c>
      <c r="F36" s="44">
        <v>32539.311</v>
      </c>
      <c r="G36" s="44">
        <v>355111.1362</v>
      </c>
      <c r="H36" s="44">
        <v>126703.7334</v>
      </c>
      <c r="I36" s="44">
        <v>1905166.0612</v>
      </c>
      <c r="J36" s="44">
        <v>1082614.5978</v>
      </c>
      <c r="K36" s="44">
        <v>402506.1723</v>
      </c>
      <c r="L36" s="44">
        <v>680108.4255</v>
      </c>
      <c r="M36" s="44">
        <v>41184.7917</v>
      </c>
      <c r="N36" s="44">
        <v>280914.6997</v>
      </c>
      <c r="P36" s="44">
        <v>47553.8697</v>
      </c>
      <c r="Q36" s="44">
        <v>4106.7431</v>
      </c>
    </row>
    <row r="37" spans="1:17" ht="12.75">
      <c r="A37" s="44" t="s">
        <v>14</v>
      </c>
      <c r="B37" s="44">
        <v>15507.6097</v>
      </c>
      <c r="C37" s="44">
        <v>15457.1849</v>
      </c>
      <c r="D37" s="44">
        <v>50.4245</v>
      </c>
      <c r="E37" s="44">
        <v>50.4245</v>
      </c>
      <c r="F37" s="44">
        <v>0</v>
      </c>
      <c r="G37" s="44">
        <v>0</v>
      </c>
      <c r="H37" s="44">
        <v>0</v>
      </c>
      <c r="I37" s="44">
        <v>19387.1265</v>
      </c>
      <c r="J37" s="44">
        <v>2543.9019</v>
      </c>
      <c r="K37" s="44">
        <v>1096.2293</v>
      </c>
      <c r="L37" s="44">
        <v>1447.6726</v>
      </c>
      <c r="M37" s="44">
        <v>0</v>
      </c>
      <c r="N37" s="44">
        <v>13876.9882</v>
      </c>
      <c r="P37" s="44">
        <v>2514.2071</v>
      </c>
      <c r="Q37" s="44">
        <v>15.8551</v>
      </c>
    </row>
    <row r="38" spans="1:17" ht="12.75">
      <c r="A38" s="44" t="s">
        <v>13</v>
      </c>
      <c r="B38" s="44">
        <v>37771.2544</v>
      </c>
      <c r="C38" s="44">
        <v>37762.3058</v>
      </c>
      <c r="D38" s="44">
        <v>8.9484</v>
      </c>
      <c r="E38" s="44">
        <v>8.9484</v>
      </c>
      <c r="F38" s="44">
        <v>0</v>
      </c>
      <c r="G38" s="44">
        <v>0</v>
      </c>
      <c r="H38" s="44">
        <v>167.5</v>
      </c>
      <c r="I38" s="44">
        <v>40634.0238</v>
      </c>
      <c r="J38" s="44">
        <v>4890.6819</v>
      </c>
      <c r="K38" s="44">
        <v>1723.8589</v>
      </c>
      <c r="L38" s="44">
        <v>3166.823</v>
      </c>
      <c r="M38" s="44">
        <v>0</v>
      </c>
      <c r="N38" s="44">
        <v>20104.4025</v>
      </c>
      <c r="P38" s="44">
        <v>11298.1876</v>
      </c>
      <c r="Q38" s="44">
        <v>0</v>
      </c>
    </row>
    <row r="39" spans="1:17" ht="12.75">
      <c r="A39" s="44" t="s">
        <v>245</v>
      </c>
      <c r="B39" s="44">
        <v>40998.1282</v>
      </c>
      <c r="C39" s="44">
        <v>40998.128</v>
      </c>
      <c r="D39" s="44">
        <v>0</v>
      </c>
      <c r="E39" s="44">
        <v>0</v>
      </c>
      <c r="F39" s="44">
        <v>0</v>
      </c>
      <c r="G39" s="44">
        <v>10075.8275</v>
      </c>
      <c r="H39" s="44">
        <v>3831.6301</v>
      </c>
      <c r="I39" s="44">
        <v>83339.2063</v>
      </c>
      <c r="J39" s="44">
        <v>53570.6222</v>
      </c>
      <c r="K39" s="44">
        <v>22642.0573</v>
      </c>
      <c r="L39" s="44">
        <v>30928.5649</v>
      </c>
      <c r="M39" s="44">
        <v>0</v>
      </c>
      <c r="N39" s="44">
        <v>14129.1763</v>
      </c>
      <c r="P39" s="44">
        <v>1456.7909</v>
      </c>
      <c r="Q39" s="44">
        <v>0</v>
      </c>
    </row>
    <row r="40" spans="1:17" ht="12.75">
      <c r="A40" s="45" t="s">
        <v>33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162126.6142</v>
      </c>
      <c r="H40" s="45">
        <v>78722.6149</v>
      </c>
      <c r="I40" s="45">
        <v>386808.8727</v>
      </c>
      <c r="J40" s="45">
        <v>85025.0105</v>
      </c>
      <c r="K40" s="45">
        <v>9312.5674</v>
      </c>
      <c r="L40" s="45">
        <v>75712.4431</v>
      </c>
      <c r="M40" s="45">
        <v>0</v>
      </c>
      <c r="N40" s="45">
        <v>168757.3843</v>
      </c>
      <c r="P40" s="45">
        <v>0</v>
      </c>
      <c r="Q40" s="45">
        <v>0</v>
      </c>
    </row>
    <row r="41" spans="11:17" ht="12.75">
      <c r="K41" s="39"/>
      <c r="L41" s="39"/>
      <c r="M41" s="39"/>
      <c r="N41" s="39"/>
      <c r="P41" s="39"/>
      <c r="Q41" s="39"/>
    </row>
    <row r="42" spans="1:17" s="29" customFormat="1" ht="12.75">
      <c r="A42" s="40" t="s">
        <v>15</v>
      </c>
      <c r="B42" s="41">
        <v>49269281.5792</v>
      </c>
      <c r="C42" s="41">
        <v>32947173.3475</v>
      </c>
      <c r="D42" s="41">
        <v>16322108.231</v>
      </c>
      <c r="E42" s="41">
        <v>6188033.6053</v>
      </c>
      <c r="F42" s="41">
        <v>10134074.6257</v>
      </c>
      <c r="G42" s="41">
        <v>7302744.1676</v>
      </c>
      <c r="H42" s="41">
        <v>990348.2016</v>
      </c>
      <c r="I42" s="41">
        <v>67062689.3335</v>
      </c>
      <c r="J42" s="41">
        <v>39636153.9418</v>
      </c>
      <c r="K42" s="41">
        <v>8449072.6644</v>
      </c>
      <c r="L42" s="41">
        <v>31187081.2774</v>
      </c>
      <c r="M42" s="41">
        <v>8054660.8987</v>
      </c>
      <c r="N42" s="41">
        <v>4777032.8614</v>
      </c>
      <c r="P42" s="41">
        <v>3939730.6711</v>
      </c>
      <c r="Q42" s="41">
        <v>398717.8622</v>
      </c>
    </row>
    <row r="43" spans="1:17" s="29" customFormat="1" ht="12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8"/>
      <c r="P43" s="47"/>
      <c r="Q43" s="47"/>
    </row>
    <row r="44" spans="1:15" ht="12.75">
      <c r="A44" s="3" t="s">
        <v>100</v>
      </c>
      <c r="O44" s="29"/>
    </row>
    <row r="45" ht="12.75">
      <c r="O45" s="29"/>
    </row>
    <row r="46" ht="12.75">
      <c r="O46" s="29"/>
    </row>
    <row r="47" ht="12.75">
      <c r="O47" s="29"/>
    </row>
    <row r="48" ht="12.75">
      <c r="O48" s="29"/>
    </row>
    <row r="49" ht="12.75">
      <c r="O49" s="29"/>
    </row>
    <row r="50" ht="12.75">
      <c r="O50" s="29"/>
    </row>
    <row r="51" ht="12.75">
      <c r="O51" s="29"/>
    </row>
    <row r="52" ht="12.75">
      <c r="O52" s="29"/>
    </row>
    <row r="53" ht="12.75">
      <c r="O53" s="29"/>
    </row>
    <row r="54" ht="12.75">
      <c r="O54" s="29"/>
    </row>
    <row r="56" spans="1:14" ht="12.7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8"/>
      <c r="L56" s="29"/>
      <c r="M56" s="29"/>
      <c r="N56" s="29"/>
    </row>
    <row r="57" spans="1:14" ht="12.75">
      <c r="A57" s="29" t="s">
        <v>17</v>
      </c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9"/>
      <c r="M57" s="29"/>
      <c r="N57" s="29"/>
    </row>
    <row r="58" spans="1:14" ht="12.75">
      <c r="A58" s="29" t="s">
        <v>18</v>
      </c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9"/>
      <c r="M58" s="29"/>
      <c r="N58" s="29"/>
    </row>
    <row r="59" spans="1:14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8"/>
      <c r="L59" s="29"/>
      <c r="M59" s="29"/>
      <c r="N59" s="29"/>
    </row>
    <row r="60" spans="1:14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.75">
      <c r="A61" s="27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29" t="s">
        <v>18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7" spans="1:14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29"/>
      <c r="N68" s="29"/>
    </row>
    <row r="69" spans="1:14" ht="12.75">
      <c r="A69" s="29"/>
      <c r="N69" s="29"/>
    </row>
  </sheetData>
  <mergeCells count="5">
    <mergeCell ref="D8:F8"/>
    <mergeCell ref="A4:Q4"/>
    <mergeCell ref="A5:Q5"/>
    <mergeCell ref="B7:F7"/>
    <mergeCell ref="J7:L7"/>
  </mergeCells>
  <hyperlinks>
    <hyperlink ref="Q1" location="Indice!A1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6.625" style="3" customWidth="1"/>
    <col min="6" max="6" width="18.375" style="3" bestFit="1" customWidth="1"/>
    <col min="7" max="7" width="16.625" style="3" customWidth="1"/>
    <col min="8" max="9" width="13.875" style="3" bestFit="1" customWidth="1"/>
    <col min="10" max="10" width="13.125" style="3" bestFit="1" customWidth="1"/>
    <col min="11" max="11" width="13.875" style="3" bestFit="1" customWidth="1"/>
    <col min="12" max="12" width="16.50390625" style="3" bestFit="1" customWidth="1"/>
    <col min="13" max="13" width="19.00390625" style="3" bestFit="1" customWidth="1"/>
    <col min="14" max="14" width="10.00390625" style="3" bestFit="1" customWidth="1"/>
    <col min="15" max="16" width="11.875" style="3" bestFit="1" customWidth="1"/>
    <col min="17" max="17" width="11.625" style="3" bestFit="1" customWidth="1"/>
    <col min="18" max="18" width="4.125" style="3" customWidth="1"/>
    <col min="19" max="19" width="12.50390625" style="3" bestFit="1" customWidth="1"/>
    <col min="20" max="16384" width="12.00390625" style="3" customWidth="1"/>
  </cols>
  <sheetData>
    <row r="1" spans="1:19" ht="12.75">
      <c r="A1" s="66" t="s">
        <v>137</v>
      </c>
      <c r="S1" s="70" t="s">
        <v>144</v>
      </c>
    </row>
    <row r="2" ht="12.75">
      <c r="A2" s="66" t="s">
        <v>138</v>
      </c>
    </row>
    <row r="3" spans="1:19" ht="18">
      <c r="A3" s="205" t="s">
        <v>291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8" ht="12.75">
      <c r="A4" s="206" t="s">
        <v>88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9" ht="12.75">
      <c r="A6" s="33"/>
      <c r="B6" s="33" t="s">
        <v>58</v>
      </c>
      <c r="C6" s="33" t="s">
        <v>38</v>
      </c>
      <c r="D6" s="33" t="s">
        <v>41</v>
      </c>
      <c r="E6" s="33" t="s">
        <v>271</v>
      </c>
      <c r="F6" s="155" t="s">
        <v>42</v>
      </c>
      <c r="G6" s="33" t="s">
        <v>273</v>
      </c>
      <c r="H6" s="74" t="s">
        <v>43</v>
      </c>
      <c r="I6" s="33" t="s">
        <v>46</v>
      </c>
      <c r="J6" s="33" t="s">
        <v>49</v>
      </c>
      <c r="K6" s="74" t="s">
        <v>43</v>
      </c>
      <c r="L6" s="33" t="s">
        <v>218</v>
      </c>
      <c r="M6" s="74" t="s">
        <v>219</v>
      </c>
      <c r="N6" s="33" t="s">
        <v>42</v>
      </c>
      <c r="O6" s="74" t="s">
        <v>43</v>
      </c>
      <c r="P6" s="33"/>
      <c r="Q6" s="74" t="s">
        <v>43</v>
      </c>
      <c r="R6" s="48"/>
      <c r="S6" s="33" t="s">
        <v>124</v>
      </c>
    </row>
    <row r="7" spans="1:19" ht="12.75">
      <c r="A7" s="35" t="s">
        <v>20</v>
      </c>
      <c r="B7" s="35" t="s">
        <v>56</v>
      </c>
      <c r="C7" s="35" t="s">
        <v>39</v>
      </c>
      <c r="D7" s="35" t="s">
        <v>220</v>
      </c>
      <c r="E7" s="35" t="s">
        <v>272</v>
      </c>
      <c r="F7" s="154" t="s">
        <v>224</v>
      </c>
      <c r="G7" s="35" t="s">
        <v>274</v>
      </c>
      <c r="H7" s="107" t="s">
        <v>44</v>
      </c>
      <c r="I7" s="35" t="s">
        <v>47</v>
      </c>
      <c r="J7" s="35" t="s">
        <v>50</v>
      </c>
      <c r="K7" s="107" t="s">
        <v>44</v>
      </c>
      <c r="L7" s="35" t="s">
        <v>95</v>
      </c>
      <c r="M7" s="107" t="s">
        <v>221</v>
      </c>
      <c r="N7" s="35" t="s">
        <v>53</v>
      </c>
      <c r="O7" s="107" t="s">
        <v>54</v>
      </c>
      <c r="P7" s="35" t="s">
        <v>91</v>
      </c>
      <c r="Q7" s="107" t="s">
        <v>4</v>
      </c>
      <c r="R7" s="48"/>
      <c r="S7" s="35" t="s">
        <v>125</v>
      </c>
    </row>
    <row r="8" spans="1:19" ht="12.75">
      <c r="A8" s="37"/>
      <c r="B8" s="37" t="s">
        <v>57</v>
      </c>
      <c r="C8" s="37"/>
      <c r="D8" s="37" t="s">
        <v>40</v>
      </c>
      <c r="E8" s="37" t="s">
        <v>39</v>
      </c>
      <c r="F8" s="38" t="s">
        <v>225</v>
      </c>
      <c r="G8" s="37" t="s">
        <v>275</v>
      </c>
      <c r="H8" s="108" t="s">
        <v>45</v>
      </c>
      <c r="I8" s="37" t="s">
        <v>44</v>
      </c>
      <c r="J8" s="37"/>
      <c r="K8" s="108" t="s">
        <v>51</v>
      </c>
      <c r="L8" s="37" t="s">
        <v>222</v>
      </c>
      <c r="M8" s="108" t="s">
        <v>223</v>
      </c>
      <c r="N8" s="37" t="s">
        <v>52</v>
      </c>
      <c r="O8" s="108" t="s">
        <v>55</v>
      </c>
      <c r="P8" s="37"/>
      <c r="Q8" s="108"/>
      <c r="R8" s="48"/>
      <c r="S8" s="37" t="s">
        <v>126</v>
      </c>
    </row>
    <row r="9" spans="3:17" ht="12.75">
      <c r="C9" s="39"/>
      <c r="D9" s="39"/>
      <c r="E9" s="39"/>
      <c r="F9" s="39"/>
      <c r="G9" s="39"/>
      <c r="H9" s="49"/>
      <c r="I9" s="39"/>
      <c r="J9" s="39"/>
      <c r="K9" s="49"/>
      <c r="L9" s="39"/>
      <c r="M9" s="49"/>
      <c r="N9" s="39"/>
      <c r="O9" s="49"/>
      <c r="P9" s="49"/>
      <c r="Q9" s="31"/>
    </row>
    <row r="10" spans="1:19" ht="12.75">
      <c r="A10" s="40" t="s">
        <v>16</v>
      </c>
      <c r="B10" s="41">
        <v>1015877.3928</v>
      </c>
      <c r="C10" s="41">
        <v>242502.3884</v>
      </c>
      <c r="D10" s="41">
        <v>81866.2472</v>
      </c>
      <c r="E10" s="41">
        <v>91769.6477</v>
      </c>
      <c r="F10" s="41">
        <v>-33385.3085</v>
      </c>
      <c r="G10" s="41">
        <v>-34816.386</v>
      </c>
      <c r="H10" s="54">
        <v>1363813.9816</v>
      </c>
      <c r="I10" s="41">
        <v>628229.8141</v>
      </c>
      <c r="J10" s="41">
        <v>229715.0398</v>
      </c>
      <c r="K10" s="54">
        <v>505869.1277</v>
      </c>
      <c r="L10" s="41">
        <v>65011.6168</v>
      </c>
      <c r="M10" s="54">
        <v>570880.7447</v>
      </c>
      <c r="N10" s="41">
        <v>-26900.919</v>
      </c>
      <c r="O10" s="54">
        <v>543979.8253</v>
      </c>
      <c r="P10" s="41">
        <v>68972.9674</v>
      </c>
      <c r="Q10" s="54">
        <v>475006.8578</v>
      </c>
      <c r="R10" s="48"/>
      <c r="S10" s="41">
        <v>216306.9303</v>
      </c>
    </row>
    <row r="11" spans="1:19" ht="12.75">
      <c r="A11" s="43" t="s">
        <v>28</v>
      </c>
      <c r="B11" s="43">
        <v>4727.72699999999</v>
      </c>
      <c r="C11" s="43">
        <v>2283.9145</v>
      </c>
      <c r="D11" s="43">
        <v>5.9736</v>
      </c>
      <c r="E11" s="43">
        <v>2864.6956</v>
      </c>
      <c r="F11" s="43">
        <v>-8.98740000004182</v>
      </c>
      <c r="G11" s="43">
        <v>-1624.95690000005</v>
      </c>
      <c r="H11" s="50">
        <v>8248.3663999999</v>
      </c>
      <c r="I11" s="43">
        <v>6515.4563</v>
      </c>
      <c r="J11" s="43">
        <v>94.9014</v>
      </c>
      <c r="K11" s="50">
        <v>1638.0086999999</v>
      </c>
      <c r="L11" s="43">
        <v>0.2151</v>
      </c>
      <c r="M11" s="50">
        <v>1638.22399999995</v>
      </c>
      <c r="N11" s="43">
        <v>295.121</v>
      </c>
      <c r="O11" s="50">
        <v>1933.3448</v>
      </c>
      <c r="P11" s="43">
        <v>311.8485</v>
      </c>
      <c r="Q11" s="50">
        <v>1621.4963</v>
      </c>
      <c r="S11" s="43">
        <v>126.0601</v>
      </c>
    </row>
    <row r="12" spans="1:19" ht="12.75">
      <c r="A12" s="44" t="s">
        <v>25</v>
      </c>
      <c r="B12" s="44">
        <v>66837.2551</v>
      </c>
      <c r="C12" s="44">
        <v>17186.0792</v>
      </c>
      <c r="D12" s="44">
        <v>12325.0667</v>
      </c>
      <c r="E12" s="44">
        <v>-3788.4486</v>
      </c>
      <c r="F12" s="44">
        <v>414.4594</v>
      </c>
      <c r="G12" s="44">
        <v>-2319.07750000001</v>
      </c>
      <c r="H12" s="51">
        <v>90655.3343</v>
      </c>
      <c r="I12" s="44">
        <v>49223.5952</v>
      </c>
      <c r="J12" s="44">
        <v>20514.0942</v>
      </c>
      <c r="K12" s="51">
        <v>20917.6449</v>
      </c>
      <c r="L12" s="44">
        <v>6370.2669</v>
      </c>
      <c r="M12" s="51">
        <v>27287.9120000001</v>
      </c>
      <c r="N12" s="44">
        <v>-4293.10020000004</v>
      </c>
      <c r="O12" s="51">
        <v>22994.8116</v>
      </c>
      <c r="P12" s="44">
        <v>2494.1315</v>
      </c>
      <c r="Q12" s="51">
        <v>20500.6801</v>
      </c>
      <c r="S12" s="44">
        <v>19642.8578</v>
      </c>
    </row>
    <row r="13" spans="1:19" ht="12.75">
      <c r="A13" s="44" t="s">
        <v>5</v>
      </c>
      <c r="B13" s="44">
        <v>22890.8851</v>
      </c>
      <c r="C13" s="44">
        <v>5400.8978</v>
      </c>
      <c r="D13" s="44">
        <v>378.3703</v>
      </c>
      <c r="E13" s="44">
        <v>3566.4052</v>
      </c>
      <c r="F13" s="44">
        <v>-360.369800000044</v>
      </c>
      <c r="G13" s="44">
        <v>-1144.69700000004</v>
      </c>
      <c r="H13" s="51">
        <v>30731.4915999999</v>
      </c>
      <c r="I13" s="44">
        <v>15928.01</v>
      </c>
      <c r="J13" s="44">
        <v>2109.7836</v>
      </c>
      <c r="K13" s="51">
        <v>12693.6979999999</v>
      </c>
      <c r="L13" s="44">
        <v>3952.5865</v>
      </c>
      <c r="M13" s="51">
        <v>16646.2847</v>
      </c>
      <c r="N13" s="44">
        <v>94.364</v>
      </c>
      <c r="O13" s="51">
        <v>16740.6486</v>
      </c>
      <c r="P13" s="44">
        <v>1991.9191</v>
      </c>
      <c r="Q13" s="51">
        <v>14748.7295</v>
      </c>
      <c r="S13" s="44">
        <v>1205.4635</v>
      </c>
    </row>
    <row r="14" spans="1:19" ht="12.75">
      <c r="A14" s="44" t="s">
        <v>6</v>
      </c>
      <c r="B14" s="44">
        <v>61519.9551</v>
      </c>
      <c r="C14" s="44">
        <v>12287.6772</v>
      </c>
      <c r="D14" s="44">
        <v>5005.178</v>
      </c>
      <c r="E14" s="44">
        <v>1623.9788</v>
      </c>
      <c r="F14" s="44">
        <v>-6715.7181</v>
      </c>
      <c r="G14" s="44">
        <v>-5272.64920000004</v>
      </c>
      <c r="H14" s="51">
        <v>68448.4217999999</v>
      </c>
      <c r="I14" s="44">
        <v>34399.9465</v>
      </c>
      <c r="J14" s="44">
        <v>13441.4306</v>
      </c>
      <c r="K14" s="51">
        <v>20607.0446999999</v>
      </c>
      <c r="L14" s="44">
        <v>4141.2066</v>
      </c>
      <c r="M14" s="51">
        <v>24748.2514</v>
      </c>
      <c r="N14" s="44">
        <v>-181.226599999995</v>
      </c>
      <c r="O14" s="51">
        <v>24567.0246</v>
      </c>
      <c r="P14" s="44">
        <v>3240.8921</v>
      </c>
      <c r="Q14" s="51">
        <v>21326.1324</v>
      </c>
      <c r="S14" s="44">
        <v>11914.9023</v>
      </c>
    </row>
    <row r="15" spans="1:19" ht="12.75">
      <c r="A15" s="44" t="s">
        <v>7</v>
      </c>
      <c r="B15" s="44">
        <v>204846.2742</v>
      </c>
      <c r="C15" s="44">
        <v>55835.2468</v>
      </c>
      <c r="D15" s="44">
        <v>15662.0457</v>
      </c>
      <c r="E15" s="44">
        <v>21820.5849</v>
      </c>
      <c r="F15" s="44">
        <v>-6762.2169</v>
      </c>
      <c r="G15" s="44">
        <v>-5788.51300000004</v>
      </c>
      <c r="H15" s="51">
        <v>285613.4217</v>
      </c>
      <c r="I15" s="44">
        <v>136540.6907</v>
      </c>
      <c r="J15" s="44">
        <v>30237.5726</v>
      </c>
      <c r="K15" s="51">
        <v>118835.1584</v>
      </c>
      <c r="L15" s="44">
        <v>7656.86399999996</v>
      </c>
      <c r="M15" s="51">
        <v>126492.0223</v>
      </c>
      <c r="N15" s="44">
        <v>2993.4571</v>
      </c>
      <c r="O15" s="51">
        <v>129485.4793</v>
      </c>
      <c r="P15" s="44">
        <v>11187.3344</v>
      </c>
      <c r="Q15" s="51">
        <v>118298.1448</v>
      </c>
      <c r="S15" s="44">
        <v>34056.9364</v>
      </c>
    </row>
    <row r="16" spans="1:19" ht="12.75">
      <c r="A16" s="44" t="s">
        <v>236</v>
      </c>
      <c r="B16" s="44">
        <v>154412.9921</v>
      </c>
      <c r="C16" s="44">
        <v>32020.4305</v>
      </c>
      <c r="D16" s="44">
        <v>15331.3598</v>
      </c>
      <c r="E16" s="44">
        <v>1255.7703</v>
      </c>
      <c r="F16" s="44">
        <v>-192.225900000019</v>
      </c>
      <c r="G16" s="44">
        <v>-2910.38630000001</v>
      </c>
      <c r="H16" s="51">
        <v>199917.9405</v>
      </c>
      <c r="I16" s="44">
        <v>102672.9479</v>
      </c>
      <c r="J16" s="44">
        <v>30785.3823</v>
      </c>
      <c r="K16" s="51">
        <v>66459.6102999999</v>
      </c>
      <c r="L16" s="44">
        <v>14197.1742</v>
      </c>
      <c r="M16" s="51">
        <v>80656.7844999999</v>
      </c>
      <c r="N16" s="44">
        <v>-4263.84040000004</v>
      </c>
      <c r="O16" s="51">
        <v>76392.9441</v>
      </c>
      <c r="P16" s="44">
        <v>8679.0436</v>
      </c>
      <c r="Q16" s="51">
        <v>67713.9004</v>
      </c>
      <c r="S16" s="44">
        <v>30065.0629</v>
      </c>
    </row>
    <row r="17" spans="1:19" ht="12.75">
      <c r="A17" s="44" t="s">
        <v>8</v>
      </c>
      <c r="B17" s="44">
        <v>49691.2117</v>
      </c>
      <c r="C17" s="44">
        <v>12237.2238</v>
      </c>
      <c r="D17" s="44">
        <v>2734.906</v>
      </c>
      <c r="E17" s="44">
        <v>-2190.54730000003</v>
      </c>
      <c r="F17" s="44">
        <v>918.4444</v>
      </c>
      <c r="G17" s="44">
        <v>-1413.3126</v>
      </c>
      <c r="H17" s="51">
        <v>61977.926</v>
      </c>
      <c r="I17" s="44">
        <v>29250.1361</v>
      </c>
      <c r="J17" s="44">
        <v>16092.0917</v>
      </c>
      <c r="K17" s="51">
        <v>16635.6982</v>
      </c>
      <c r="L17" s="44">
        <v>572.3691</v>
      </c>
      <c r="M17" s="51">
        <v>17208.0676</v>
      </c>
      <c r="N17" s="44">
        <v>-1510.45290000003</v>
      </c>
      <c r="O17" s="51">
        <v>15697.6143</v>
      </c>
      <c r="P17" s="44">
        <v>2627.7369</v>
      </c>
      <c r="Q17" s="51">
        <v>13069.8773</v>
      </c>
      <c r="S17" s="44">
        <v>12351.9182</v>
      </c>
    </row>
    <row r="18" spans="1:19" ht="12.75">
      <c r="A18" s="44" t="s">
        <v>31</v>
      </c>
      <c r="B18" s="44">
        <v>16324.9854</v>
      </c>
      <c r="C18" s="44">
        <v>-313.34030000004</v>
      </c>
      <c r="D18" s="44">
        <v>0</v>
      </c>
      <c r="E18" s="44">
        <v>-9047.42450000002</v>
      </c>
      <c r="F18" s="44">
        <v>714.3843</v>
      </c>
      <c r="G18" s="44">
        <v>-1257.43480000005</v>
      </c>
      <c r="H18" s="51">
        <v>6421.17009999989</v>
      </c>
      <c r="I18" s="44">
        <v>2777.7389</v>
      </c>
      <c r="J18" s="44">
        <v>-476.271100000013</v>
      </c>
      <c r="K18" s="51">
        <v>4119.7022999999</v>
      </c>
      <c r="L18" s="44">
        <v>0</v>
      </c>
      <c r="M18" s="51">
        <v>4119.70249999995</v>
      </c>
      <c r="N18" s="44">
        <v>28.7872</v>
      </c>
      <c r="O18" s="51">
        <v>4148.4895</v>
      </c>
      <c r="P18" s="44">
        <v>859.9792</v>
      </c>
      <c r="Q18" s="51">
        <v>3288.5103</v>
      </c>
      <c r="S18" s="44">
        <v>0</v>
      </c>
    </row>
    <row r="19" spans="1:19" ht="12.75">
      <c r="A19" s="44" t="s">
        <v>11</v>
      </c>
      <c r="B19" s="44">
        <v>24971.4909</v>
      </c>
      <c r="C19" s="44">
        <v>8842.9273</v>
      </c>
      <c r="D19" s="44">
        <v>1523.0535</v>
      </c>
      <c r="E19" s="44">
        <v>18.4495</v>
      </c>
      <c r="F19" s="44">
        <v>-290.88320000004</v>
      </c>
      <c r="G19" s="44">
        <v>-749.93180000002</v>
      </c>
      <c r="H19" s="51">
        <v>34315.1061999999</v>
      </c>
      <c r="I19" s="44">
        <v>13209.8532</v>
      </c>
      <c r="J19" s="44">
        <v>8879.7354</v>
      </c>
      <c r="K19" s="51">
        <v>12225.5175999999</v>
      </c>
      <c r="L19" s="44">
        <v>5.64</v>
      </c>
      <c r="M19" s="51">
        <v>12231.1578</v>
      </c>
      <c r="N19" s="44">
        <v>593.1902</v>
      </c>
      <c r="O19" s="51">
        <v>12824.3478</v>
      </c>
      <c r="P19" s="44">
        <v>2161.8289</v>
      </c>
      <c r="Q19" s="51">
        <v>10662.5189</v>
      </c>
      <c r="S19" s="44">
        <v>6632.9388</v>
      </c>
    </row>
    <row r="20" spans="1:19" ht="12.75">
      <c r="A20" s="44" t="s">
        <v>24</v>
      </c>
      <c r="B20" s="44">
        <v>4355.0549</v>
      </c>
      <c r="C20" s="44">
        <v>443.2966</v>
      </c>
      <c r="D20" s="44">
        <v>256.0942</v>
      </c>
      <c r="E20" s="44">
        <v>975.1269</v>
      </c>
      <c r="F20" s="44">
        <v>166.3963</v>
      </c>
      <c r="G20" s="44">
        <v>-187.562200000044</v>
      </c>
      <c r="H20" s="51">
        <v>6008.40669999996</v>
      </c>
      <c r="I20" s="44">
        <v>4491.8624</v>
      </c>
      <c r="J20" s="44">
        <v>929.3043</v>
      </c>
      <c r="K20" s="51">
        <v>587.23999999996</v>
      </c>
      <c r="L20" s="44">
        <v>0</v>
      </c>
      <c r="M20" s="51">
        <v>587.240199999956</v>
      </c>
      <c r="N20" s="44">
        <v>-27.969299999997</v>
      </c>
      <c r="O20" s="51">
        <v>559.2706</v>
      </c>
      <c r="P20" s="44">
        <v>65.4978</v>
      </c>
      <c r="Q20" s="51">
        <v>493.7728</v>
      </c>
      <c r="S20" s="44">
        <v>244.4656</v>
      </c>
    </row>
    <row r="21" spans="1:19" ht="12.75">
      <c r="A21" s="44" t="s">
        <v>29</v>
      </c>
      <c r="B21" s="44">
        <v>6303.3775</v>
      </c>
      <c r="C21" s="44">
        <v>571.52</v>
      </c>
      <c r="D21" s="44">
        <v>0</v>
      </c>
      <c r="E21" s="44">
        <v>546.2783</v>
      </c>
      <c r="F21" s="44">
        <v>0</v>
      </c>
      <c r="G21" s="44">
        <v>-1411.91690000001</v>
      </c>
      <c r="H21" s="51">
        <v>6009.25889999999</v>
      </c>
      <c r="I21" s="44">
        <v>4100.0924</v>
      </c>
      <c r="J21" s="44">
        <v>755.0778</v>
      </c>
      <c r="K21" s="51">
        <v>1154.08869999999</v>
      </c>
      <c r="L21" s="44">
        <v>0.3226</v>
      </c>
      <c r="M21" s="51">
        <v>1154.41160000003</v>
      </c>
      <c r="N21" s="44">
        <v>23.6033</v>
      </c>
      <c r="O21" s="51">
        <v>1178.0148</v>
      </c>
      <c r="P21" s="44">
        <v>195.3487</v>
      </c>
      <c r="Q21" s="51">
        <v>982.666</v>
      </c>
      <c r="S21" s="44">
        <v>0</v>
      </c>
    </row>
    <row r="22" spans="1:19" ht="12.75">
      <c r="A22" s="44" t="s">
        <v>9</v>
      </c>
      <c r="B22" s="44">
        <v>5314.6795</v>
      </c>
      <c r="C22" s="44">
        <v>574.1738</v>
      </c>
      <c r="D22" s="44">
        <v>17.3124</v>
      </c>
      <c r="E22" s="44">
        <v>420.3657</v>
      </c>
      <c r="F22" s="44">
        <v>-209.921100000036</v>
      </c>
      <c r="G22" s="44">
        <v>-83.985100000049</v>
      </c>
      <c r="H22" s="51">
        <v>6032.62519999992</v>
      </c>
      <c r="I22" s="44">
        <v>4222.6731</v>
      </c>
      <c r="J22" s="44">
        <v>509.253</v>
      </c>
      <c r="K22" s="51">
        <v>1300.69909999992</v>
      </c>
      <c r="L22" s="44">
        <v>12.8073</v>
      </c>
      <c r="M22" s="51">
        <v>1313.50649999995</v>
      </c>
      <c r="N22" s="44">
        <v>20.4013</v>
      </c>
      <c r="O22" s="51">
        <v>1333.9077</v>
      </c>
      <c r="P22" s="44">
        <v>33.7003</v>
      </c>
      <c r="Q22" s="51">
        <v>1300.2074</v>
      </c>
      <c r="S22" s="44">
        <v>366.0396</v>
      </c>
    </row>
    <row r="23" spans="1:19" ht="12.75">
      <c r="A23" s="44" t="s">
        <v>26</v>
      </c>
      <c r="B23" s="44">
        <v>1024.2963</v>
      </c>
      <c r="C23" s="44">
        <v>43.2315</v>
      </c>
      <c r="D23" s="44">
        <v>0</v>
      </c>
      <c r="E23" s="44">
        <v>117.3974</v>
      </c>
      <c r="F23" s="44">
        <v>0</v>
      </c>
      <c r="G23" s="44">
        <v>-103.586400000029</v>
      </c>
      <c r="H23" s="51">
        <v>1081.33879999997</v>
      </c>
      <c r="I23" s="44">
        <v>1100.5724</v>
      </c>
      <c r="J23" s="44">
        <v>60.1827</v>
      </c>
      <c r="K23" s="51">
        <v>-79.4163000000294</v>
      </c>
      <c r="L23" s="44">
        <v>-12.7974000000395</v>
      </c>
      <c r="M23" s="51">
        <v>-92.2135000000686</v>
      </c>
      <c r="N23" s="44">
        <v>165.5565</v>
      </c>
      <c r="O23" s="51">
        <v>73.3429</v>
      </c>
      <c r="P23" s="44">
        <v>6.6917</v>
      </c>
      <c r="Q23" s="51">
        <v>66.6512</v>
      </c>
      <c r="S23" s="44">
        <v>0</v>
      </c>
    </row>
    <row r="24" spans="1:19" ht="12.75">
      <c r="A24" s="44" t="s">
        <v>244</v>
      </c>
      <c r="B24" s="44">
        <v>15575.4295</v>
      </c>
      <c r="C24" s="44">
        <v>4386.2042</v>
      </c>
      <c r="D24" s="44">
        <v>748.9934</v>
      </c>
      <c r="E24" s="44">
        <v>0.323</v>
      </c>
      <c r="F24" s="44">
        <v>-40.7864000000409</v>
      </c>
      <c r="G24" s="44">
        <v>-200.461300000024</v>
      </c>
      <c r="H24" s="51">
        <v>20469.7023999999</v>
      </c>
      <c r="I24" s="44">
        <v>9841.6985</v>
      </c>
      <c r="J24" s="44">
        <v>7368.5918</v>
      </c>
      <c r="K24" s="51">
        <v>3259.41209999994</v>
      </c>
      <c r="L24" s="44">
        <v>0</v>
      </c>
      <c r="M24" s="51">
        <v>3259.41229999998</v>
      </c>
      <c r="N24" s="44">
        <v>406.8485</v>
      </c>
      <c r="O24" s="51">
        <v>3666.2606</v>
      </c>
      <c r="P24" s="44">
        <v>643.2057</v>
      </c>
      <c r="Q24" s="51">
        <v>3023.0549</v>
      </c>
      <c r="S24" s="44">
        <v>5233.9853</v>
      </c>
    </row>
    <row r="25" spans="1:19" ht="12.75">
      <c r="A25" s="44" t="s">
        <v>30</v>
      </c>
      <c r="B25" s="44">
        <v>457.0283</v>
      </c>
      <c r="C25" s="44">
        <v>-8.32140000001527</v>
      </c>
      <c r="D25" s="44">
        <v>0</v>
      </c>
      <c r="E25" s="44">
        <v>52.0482</v>
      </c>
      <c r="F25" s="44">
        <v>1006.2619</v>
      </c>
      <c r="G25" s="44">
        <v>-28.1906000000308</v>
      </c>
      <c r="H25" s="51">
        <v>1478.82639999995</v>
      </c>
      <c r="I25" s="44">
        <v>4779.0418</v>
      </c>
      <c r="J25" s="44">
        <v>0</v>
      </c>
      <c r="K25" s="51">
        <v>-3300.21540000005</v>
      </c>
      <c r="L25" s="44">
        <v>1089.3745</v>
      </c>
      <c r="M25" s="51">
        <v>-2210.84080000003</v>
      </c>
      <c r="N25" s="44">
        <v>-24.7608999999939</v>
      </c>
      <c r="O25" s="51">
        <v>-2235.6018</v>
      </c>
      <c r="P25" s="44">
        <v>-594.148900000029</v>
      </c>
      <c r="Q25" s="51">
        <v>-1641.45290000003</v>
      </c>
      <c r="S25" s="44">
        <v>0</v>
      </c>
    </row>
    <row r="26" spans="1:19" ht="12.75">
      <c r="A26" s="44" t="s">
        <v>22</v>
      </c>
      <c r="B26" s="44">
        <v>12033.9906</v>
      </c>
      <c r="C26" s="44">
        <v>-122.3027</v>
      </c>
      <c r="D26" s="44">
        <v>456.3386</v>
      </c>
      <c r="E26" s="44">
        <v>270.6897</v>
      </c>
      <c r="F26" s="44">
        <v>233.6093</v>
      </c>
      <c r="G26" s="44">
        <v>-191.440400000021</v>
      </c>
      <c r="H26" s="51">
        <v>12680.8851</v>
      </c>
      <c r="I26" s="44">
        <v>7029.7481</v>
      </c>
      <c r="J26" s="44">
        <v>3944.2129</v>
      </c>
      <c r="K26" s="51">
        <v>1706.92409999998</v>
      </c>
      <c r="L26" s="44">
        <v>597.4273</v>
      </c>
      <c r="M26" s="51">
        <v>2304.35149999998</v>
      </c>
      <c r="N26" s="44">
        <v>88.0606</v>
      </c>
      <c r="O26" s="51">
        <v>2392.4121</v>
      </c>
      <c r="P26" s="44">
        <v>338.0644</v>
      </c>
      <c r="Q26" s="51">
        <v>2054.3476</v>
      </c>
      <c r="S26" s="44">
        <v>2723.1875</v>
      </c>
    </row>
    <row r="27" spans="1:19" ht="12.75">
      <c r="A27" s="44" t="s">
        <v>10</v>
      </c>
      <c r="B27" s="44">
        <v>310889.3176</v>
      </c>
      <c r="C27" s="44">
        <v>79618.7992</v>
      </c>
      <c r="D27" s="44">
        <v>25901.9111</v>
      </c>
      <c r="E27" s="44">
        <v>66458.1654</v>
      </c>
      <c r="F27" s="44">
        <v>-22122.6571</v>
      </c>
      <c r="G27" s="44">
        <v>-7400.255</v>
      </c>
      <c r="H27" s="51">
        <v>453345.2812</v>
      </c>
      <c r="I27" s="44">
        <v>163070.2425</v>
      </c>
      <c r="J27" s="44">
        <v>83704.9917</v>
      </c>
      <c r="K27" s="51">
        <v>206570.047</v>
      </c>
      <c r="L27" s="44">
        <v>21953.2115</v>
      </c>
      <c r="M27" s="51">
        <v>228523.2584</v>
      </c>
      <c r="N27" s="44">
        <v>-24762.538</v>
      </c>
      <c r="O27" s="51">
        <v>203760.7202</v>
      </c>
      <c r="P27" s="44">
        <v>31006.1762</v>
      </c>
      <c r="Q27" s="51">
        <v>172754.5439</v>
      </c>
      <c r="S27" s="44">
        <v>80661.011</v>
      </c>
    </row>
    <row r="28" spans="1:19" ht="12.75">
      <c r="A28" s="44" t="s">
        <v>32</v>
      </c>
      <c r="B28" s="44">
        <v>26837.0496</v>
      </c>
      <c r="C28" s="44">
        <v>4039.3023</v>
      </c>
      <c r="D28" s="44">
        <v>277.4944</v>
      </c>
      <c r="E28" s="44">
        <v>3850.6375</v>
      </c>
      <c r="F28" s="44">
        <v>431.6751</v>
      </c>
      <c r="G28" s="44">
        <v>-1260.82339999999</v>
      </c>
      <c r="H28" s="51">
        <v>34175.3355</v>
      </c>
      <c r="I28" s="44">
        <v>16865.0118</v>
      </c>
      <c r="J28" s="44">
        <v>4295.8369</v>
      </c>
      <c r="K28" s="51">
        <v>13014.4868</v>
      </c>
      <c r="L28" s="44">
        <v>1828.8875</v>
      </c>
      <c r="M28" s="51">
        <v>14843.3745</v>
      </c>
      <c r="N28" s="44">
        <v>369.5969</v>
      </c>
      <c r="O28" s="51">
        <v>15212.9713</v>
      </c>
      <c r="P28" s="44">
        <v>1770.2382</v>
      </c>
      <c r="Q28" s="51">
        <v>13442.733</v>
      </c>
      <c r="S28" s="44">
        <v>2704.552</v>
      </c>
    </row>
    <row r="29" spans="1:19" ht="12.75">
      <c r="A29" s="45" t="s">
        <v>21</v>
      </c>
      <c r="B29" s="45">
        <v>26864.3919</v>
      </c>
      <c r="C29" s="45">
        <v>7175.4273</v>
      </c>
      <c r="D29" s="45">
        <v>1242.1489</v>
      </c>
      <c r="E29" s="45">
        <v>2955.1513</v>
      </c>
      <c r="F29" s="45">
        <v>-566.773300000001</v>
      </c>
      <c r="G29" s="45">
        <v>-1467.20480000001</v>
      </c>
      <c r="H29" s="52">
        <v>36203.1412999999</v>
      </c>
      <c r="I29" s="45">
        <v>22210.4954</v>
      </c>
      <c r="J29" s="45">
        <v>6468.8674</v>
      </c>
      <c r="K29" s="52">
        <v>7523.77849999994</v>
      </c>
      <c r="L29" s="45">
        <v>2646.0604</v>
      </c>
      <c r="M29" s="52">
        <v>10169.839</v>
      </c>
      <c r="N29" s="45">
        <v>3083.9825</v>
      </c>
      <c r="O29" s="52">
        <v>13253.8213</v>
      </c>
      <c r="P29" s="45">
        <v>1953.4782</v>
      </c>
      <c r="Q29" s="52">
        <v>11300.3431</v>
      </c>
      <c r="S29" s="45">
        <v>8377.5486</v>
      </c>
    </row>
    <row r="30" spans="8:17" ht="12.75">
      <c r="H30" s="31"/>
      <c r="K30" s="31"/>
      <c r="M30" s="31"/>
      <c r="O30" s="31"/>
      <c r="Q30" s="31"/>
    </row>
    <row r="31" spans="1:19" ht="12.75">
      <c r="A31" s="41" t="s">
        <v>134</v>
      </c>
      <c r="B31" s="41">
        <v>181424.2444</v>
      </c>
      <c r="C31" s="41">
        <v>46056.0828</v>
      </c>
      <c r="D31" s="41">
        <v>12578.829</v>
      </c>
      <c r="E31" s="41">
        <v>13683.3254</v>
      </c>
      <c r="F31" s="41">
        <v>602.0379</v>
      </c>
      <c r="G31" s="41">
        <v>-5041.10490000003</v>
      </c>
      <c r="H31" s="54">
        <v>249303.4146</v>
      </c>
      <c r="I31" s="41">
        <v>134548.9391</v>
      </c>
      <c r="J31" s="41">
        <v>45843.8251</v>
      </c>
      <c r="K31" s="54">
        <v>68910.6503999999</v>
      </c>
      <c r="L31" s="41">
        <v>6466.43839999997</v>
      </c>
      <c r="M31" s="54">
        <v>75377.0889999999</v>
      </c>
      <c r="N31" s="41">
        <v>-9382.0527</v>
      </c>
      <c r="O31" s="54">
        <v>65995.0361</v>
      </c>
      <c r="P31" s="41">
        <v>34780.5958</v>
      </c>
      <c r="Q31" s="54">
        <v>31214.4402</v>
      </c>
      <c r="R31" s="42"/>
      <c r="S31" s="41">
        <v>29265.3059</v>
      </c>
    </row>
    <row r="32" spans="1:19" ht="12.75">
      <c r="A32" s="42"/>
      <c r="B32" s="42"/>
      <c r="C32" s="42"/>
      <c r="D32" s="42"/>
      <c r="E32" s="42"/>
      <c r="F32" s="42"/>
      <c r="G32" s="42"/>
      <c r="H32" s="31"/>
      <c r="I32" s="42"/>
      <c r="J32" s="42"/>
      <c r="K32" s="31"/>
      <c r="L32" s="42"/>
      <c r="M32" s="31"/>
      <c r="N32" s="42"/>
      <c r="O32" s="31"/>
      <c r="P32" s="42"/>
      <c r="Q32" s="31"/>
      <c r="R32" s="42"/>
      <c r="S32" s="42"/>
    </row>
    <row r="33" spans="1:19" ht="12.75">
      <c r="A33" s="41" t="s">
        <v>23</v>
      </c>
      <c r="B33" s="41">
        <v>117127.0976</v>
      </c>
      <c r="C33" s="41">
        <v>17756.462</v>
      </c>
      <c r="D33" s="41">
        <v>4590.9754</v>
      </c>
      <c r="E33" s="41">
        <v>10389.4247</v>
      </c>
      <c r="F33" s="41">
        <v>-434.698700000008</v>
      </c>
      <c r="G33" s="41">
        <v>-9117.80370000005</v>
      </c>
      <c r="H33" s="54">
        <v>140311.4573</v>
      </c>
      <c r="I33" s="41">
        <v>91950.6523</v>
      </c>
      <c r="J33" s="41">
        <v>16481.903</v>
      </c>
      <c r="K33" s="54">
        <v>31878.9019999999</v>
      </c>
      <c r="L33" s="41">
        <v>4351.7246</v>
      </c>
      <c r="M33" s="54">
        <v>36230.6267999998</v>
      </c>
      <c r="N33" s="41">
        <v>3511.5889</v>
      </c>
      <c r="O33" s="54">
        <v>39742.2156</v>
      </c>
      <c r="P33" s="41">
        <v>9832.836</v>
      </c>
      <c r="Q33" s="54">
        <v>29909.3795</v>
      </c>
      <c r="R33" s="42"/>
      <c r="S33" s="41">
        <v>15038.6937</v>
      </c>
    </row>
    <row r="34" spans="1:19" ht="12.75">
      <c r="A34" s="44" t="s">
        <v>34</v>
      </c>
      <c r="B34" s="43">
        <v>38253.0269</v>
      </c>
      <c r="C34" s="44">
        <v>6606.1501</v>
      </c>
      <c r="D34" s="44">
        <v>1560.2547</v>
      </c>
      <c r="E34" s="44">
        <v>2233.2001</v>
      </c>
      <c r="F34" s="44">
        <v>447.7683</v>
      </c>
      <c r="G34" s="44">
        <v>-2239.967</v>
      </c>
      <c r="H34" s="51">
        <v>46860.4331</v>
      </c>
      <c r="I34" s="44">
        <v>28275.6708</v>
      </c>
      <c r="J34" s="44">
        <v>9466.9</v>
      </c>
      <c r="K34" s="51">
        <v>9117.8623</v>
      </c>
      <c r="L34" s="44">
        <v>1469.6115</v>
      </c>
      <c r="M34" s="51">
        <v>10587.4739</v>
      </c>
      <c r="N34" s="44">
        <v>1659.3765</v>
      </c>
      <c r="O34" s="51">
        <v>12246.8503</v>
      </c>
      <c r="P34" s="44">
        <v>3370.1288</v>
      </c>
      <c r="Q34" s="50">
        <v>8876.7215</v>
      </c>
      <c r="S34" s="43">
        <v>7635.5401</v>
      </c>
    </row>
    <row r="35" spans="1:19" ht="12.75">
      <c r="A35" s="44" t="s">
        <v>12</v>
      </c>
      <c r="B35" s="44">
        <v>71541.5823</v>
      </c>
      <c r="C35" s="44">
        <v>10927.4205</v>
      </c>
      <c r="D35" s="44">
        <v>2895.4989</v>
      </c>
      <c r="E35" s="44">
        <v>-5759.2598</v>
      </c>
      <c r="F35" s="44">
        <v>-883.275900000008</v>
      </c>
      <c r="G35" s="44">
        <v>-3361.17010000005</v>
      </c>
      <c r="H35" s="51">
        <v>75360.7959</v>
      </c>
      <c r="I35" s="44">
        <v>57889.266</v>
      </c>
      <c r="J35" s="44">
        <v>6970.3021</v>
      </c>
      <c r="K35" s="51">
        <v>10501.2278</v>
      </c>
      <c r="L35" s="44">
        <v>2887.5131</v>
      </c>
      <c r="M35" s="51">
        <v>13388.7409</v>
      </c>
      <c r="N35" s="44">
        <v>1969.2765</v>
      </c>
      <c r="O35" s="51">
        <v>15358.0173</v>
      </c>
      <c r="P35" s="44">
        <v>2564.729</v>
      </c>
      <c r="Q35" s="51">
        <v>12793.2882</v>
      </c>
      <c r="S35" s="44">
        <v>7395.1782</v>
      </c>
    </row>
    <row r="36" spans="1:19" ht="12.75">
      <c r="A36" s="44" t="s">
        <v>14</v>
      </c>
      <c r="B36" s="44">
        <v>781.7097</v>
      </c>
      <c r="C36" s="44">
        <v>48.7909</v>
      </c>
      <c r="D36" s="44">
        <v>0.2796</v>
      </c>
      <c r="E36" s="44">
        <v>0</v>
      </c>
      <c r="F36" s="44">
        <v>0.0142</v>
      </c>
      <c r="G36" s="44">
        <v>-213.382900000026</v>
      </c>
      <c r="H36" s="51">
        <v>617.411499999974</v>
      </c>
      <c r="I36" s="44">
        <v>406.8808</v>
      </c>
      <c r="J36" s="44">
        <v>23.4446</v>
      </c>
      <c r="K36" s="51">
        <v>187.086099999974</v>
      </c>
      <c r="L36" s="44">
        <v>0</v>
      </c>
      <c r="M36" s="51">
        <v>187.086199999974</v>
      </c>
      <c r="N36" s="44">
        <v>-115.328200000047</v>
      </c>
      <c r="O36" s="51">
        <v>71.7578</v>
      </c>
      <c r="P36" s="44">
        <v>0</v>
      </c>
      <c r="Q36" s="51">
        <v>71.7578</v>
      </c>
      <c r="S36" s="44">
        <v>7.9753</v>
      </c>
    </row>
    <row r="37" spans="1:19" ht="12.75">
      <c r="A37" s="44" t="s">
        <v>13</v>
      </c>
      <c r="B37" s="44">
        <v>1848.1712</v>
      </c>
      <c r="C37" s="44">
        <v>65.7823</v>
      </c>
      <c r="D37" s="44">
        <v>134.9421</v>
      </c>
      <c r="E37" s="44">
        <v>-684.094900000026</v>
      </c>
      <c r="F37" s="44">
        <v>0</v>
      </c>
      <c r="G37" s="44">
        <v>-334.101300000038</v>
      </c>
      <c r="H37" s="51">
        <v>1030.69939999994</v>
      </c>
      <c r="I37" s="44">
        <v>820.9202</v>
      </c>
      <c r="J37" s="44">
        <v>33.1138</v>
      </c>
      <c r="K37" s="51">
        <v>176.665399999936</v>
      </c>
      <c r="L37" s="44">
        <v>-5.40000000002328</v>
      </c>
      <c r="M37" s="51">
        <v>171.265299999985</v>
      </c>
      <c r="N37" s="44">
        <v>26.0887</v>
      </c>
      <c r="O37" s="51">
        <v>197.354</v>
      </c>
      <c r="P37" s="44">
        <v>32.328</v>
      </c>
      <c r="Q37" s="51">
        <v>165.0259</v>
      </c>
      <c r="S37" s="44">
        <v>0</v>
      </c>
    </row>
    <row r="38" spans="1:19" ht="12.75">
      <c r="A38" s="44" t="s">
        <v>245</v>
      </c>
      <c r="B38" s="44">
        <v>1299.7308</v>
      </c>
      <c r="C38" s="44">
        <v>68.4673</v>
      </c>
      <c r="D38" s="44">
        <v>0</v>
      </c>
      <c r="E38" s="44">
        <v>0.9124</v>
      </c>
      <c r="F38" s="44">
        <v>0</v>
      </c>
      <c r="G38" s="44">
        <v>-233.759300000034</v>
      </c>
      <c r="H38" s="51">
        <v>1135.35119999997</v>
      </c>
      <c r="I38" s="44">
        <v>738.2562</v>
      </c>
      <c r="J38" s="44">
        <v>9.645</v>
      </c>
      <c r="K38" s="51">
        <v>387.449999999965</v>
      </c>
      <c r="L38" s="44">
        <v>0</v>
      </c>
      <c r="M38" s="51">
        <v>387.450199999966</v>
      </c>
      <c r="N38" s="44">
        <v>10.15</v>
      </c>
      <c r="O38" s="51">
        <v>397.6001</v>
      </c>
      <c r="P38" s="44">
        <v>0</v>
      </c>
      <c r="Q38" s="51">
        <v>397.6001</v>
      </c>
      <c r="S38" s="44">
        <v>0</v>
      </c>
    </row>
    <row r="39" spans="1:19" ht="12.75">
      <c r="A39" s="45" t="s">
        <v>33</v>
      </c>
      <c r="B39" s="45">
        <v>3402.87679999998</v>
      </c>
      <c r="C39" s="45">
        <v>39.8506</v>
      </c>
      <c r="D39" s="45">
        <v>0</v>
      </c>
      <c r="E39" s="45">
        <v>14598.6669</v>
      </c>
      <c r="F39" s="45">
        <v>0.7946</v>
      </c>
      <c r="G39" s="45">
        <v>-2735.42290000001</v>
      </c>
      <c r="H39" s="52">
        <v>15306.766</v>
      </c>
      <c r="I39" s="45">
        <v>3819.6581</v>
      </c>
      <c r="J39" s="45">
        <v>-21.5027000000118</v>
      </c>
      <c r="K39" s="52">
        <v>11508.6106</v>
      </c>
      <c r="L39" s="45">
        <v>0</v>
      </c>
      <c r="M39" s="52">
        <v>11508.6105</v>
      </c>
      <c r="N39" s="45">
        <v>-37.9746000000159</v>
      </c>
      <c r="O39" s="52">
        <v>11470.6359</v>
      </c>
      <c r="P39" s="45">
        <v>3865.65</v>
      </c>
      <c r="Q39" s="52">
        <v>7604.9858</v>
      </c>
      <c r="S39" s="45">
        <v>0</v>
      </c>
    </row>
    <row r="41" spans="1:19" ht="12.75">
      <c r="A41" s="40" t="s">
        <v>15</v>
      </c>
      <c r="B41" s="41">
        <v>1314428.7349</v>
      </c>
      <c r="C41" s="41">
        <v>306314.9333</v>
      </c>
      <c r="D41" s="41">
        <v>99036.0518</v>
      </c>
      <c r="E41" s="41">
        <v>115842.3978</v>
      </c>
      <c r="F41" s="41">
        <v>-33217.9692</v>
      </c>
      <c r="G41" s="41">
        <v>-48975.2947</v>
      </c>
      <c r="H41" s="54">
        <v>1753428.8539</v>
      </c>
      <c r="I41" s="41">
        <v>854729.4056</v>
      </c>
      <c r="J41" s="41">
        <v>292040.768</v>
      </c>
      <c r="K41" s="54">
        <v>606658.6803</v>
      </c>
      <c r="L41" s="41">
        <v>75829.7798</v>
      </c>
      <c r="M41" s="54">
        <v>682488.46</v>
      </c>
      <c r="N41" s="41">
        <v>-32771.3828</v>
      </c>
      <c r="O41" s="54">
        <v>649717.0772</v>
      </c>
      <c r="P41" s="41">
        <v>113586.3994</v>
      </c>
      <c r="Q41" s="54">
        <v>536130.6777</v>
      </c>
      <c r="R41" s="25"/>
      <c r="S41" s="41">
        <v>260610.9299</v>
      </c>
    </row>
    <row r="42" spans="1:19" ht="12.75">
      <c r="A42" s="46"/>
      <c r="B42" s="47"/>
      <c r="C42" s="47"/>
      <c r="D42" s="47"/>
      <c r="E42" s="47"/>
      <c r="F42" s="47"/>
      <c r="G42" s="47"/>
      <c r="H42" s="20"/>
      <c r="I42" s="47"/>
      <c r="J42" s="47"/>
      <c r="K42" s="20"/>
      <c r="L42" s="47"/>
      <c r="M42" s="20"/>
      <c r="N42" s="47"/>
      <c r="O42" s="20"/>
      <c r="P42" s="53"/>
      <c r="Q42" s="20"/>
      <c r="R42" s="6"/>
      <c r="S42" s="47"/>
    </row>
    <row r="43" ht="12.75">
      <c r="A43" s="3" t="s">
        <v>100</v>
      </c>
    </row>
  </sheetData>
  <mergeCells count="2">
    <mergeCell ref="A4:R4"/>
    <mergeCell ref="A3:S3"/>
  </mergeCells>
  <hyperlinks>
    <hyperlink ref="S1" location="Indice!A1" display="Volver"/>
  </hyperlinks>
  <printOptions horizontalCentered="1"/>
  <pageMargins left="0.2" right="0.2" top="0.71" bottom="0.2362204724409449" header="0" footer="0"/>
  <pageSetup fitToHeight="1" fitToWidth="1" horizontalDpi="600" verticalDpi="600" orientation="landscape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66" t="s">
        <v>137</v>
      </c>
      <c r="L1" s="70" t="s">
        <v>144</v>
      </c>
    </row>
    <row r="2" spans="1:12" ht="12.75">
      <c r="A2" s="66" t="s">
        <v>138</v>
      </c>
      <c r="L2" s="70"/>
    </row>
    <row r="3" spans="1:12" ht="18">
      <c r="A3" s="205" t="s">
        <v>292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12.75">
      <c r="A4" s="206" t="s">
        <v>89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33"/>
      <c r="B6" s="202" t="s">
        <v>237</v>
      </c>
      <c r="C6" s="203"/>
      <c r="D6" s="203"/>
      <c r="E6" s="203"/>
      <c r="F6" s="204"/>
      <c r="G6" s="202" t="s">
        <v>83</v>
      </c>
      <c r="H6" s="204"/>
      <c r="I6" s="202" t="s">
        <v>87</v>
      </c>
      <c r="J6" s="204"/>
      <c r="K6" s="202" t="s">
        <v>238</v>
      </c>
      <c r="L6" s="204"/>
    </row>
    <row r="7" spans="1:12" ht="12.75">
      <c r="A7" s="35" t="s">
        <v>20</v>
      </c>
      <c r="B7" s="202" t="s">
        <v>0</v>
      </c>
      <c r="C7" s="203"/>
      <c r="D7" s="203"/>
      <c r="E7" s="203"/>
      <c r="F7" s="204"/>
      <c r="G7" s="55" t="s">
        <v>85</v>
      </c>
      <c r="H7" s="56" t="s">
        <v>86</v>
      </c>
      <c r="I7" s="56" t="s">
        <v>104</v>
      </c>
      <c r="J7" s="56" t="s">
        <v>104</v>
      </c>
      <c r="K7" s="35" t="s">
        <v>105</v>
      </c>
      <c r="L7" s="35" t="s">
        <v>106</v>
      </c>
    </row>
    <row r="8" spans="1:12" ht="12.75">
      <c r="A8" s="37"/>
      <c r="B8" s="38" t="s">
        <v>93</v>
      </c>
      <c r="C8" s="37" t="s">
        <v>94</v>
      </c>
      <c r="D8" s="37" t="s">
        <v>92</v>
      </c>
      <c r="E8" s="37" t="s">
        <v>35</v>
      </c>
      <c r="F8" s="37" t="s">
        <v>103</v>
      </c>
      <c r="G8" s="38" t="s">
        <v>84</v>
      </c>
      <c r="H8" s="37" t="s">
        <v>84</v>
      </c>
      <c r="I8" s="37" t="s">
        <v>108</v>
      </c>
      <c r="J8" s="37" t="s">
        <v>107</v>
      </c>
      <c r="K8" s="37"/>
      <c r="L8" s="37"/>
    </row>
    <row r="9" spans="2:10" ht="12.75">
      <c r="B9" s="39"/>
      <c r="C9" s="39"/>
      <c r="D9" s="39"/>
      <c r="E9" s="39"/>
      <c r="F9" s="39"/>
      <c r="G9" s="39"/>
      <c r="H9" s="39"/>
      <c r="I9" s="39"/>
      <c r="J9" s="39"/>
    </row>
    <row r="10" spans="1:12" ht="12.75">
      <c r="A10" s="40" t="s">
        <v>16</v>
      </c>
      <c r="B10" s="57">
        <v>14.6725795299944</v>
      </c>
      <c r="C10" s="57">
        <v>12.7978635847875</v>
      </c>
      <c r="D10" s="57">
        <v>19.2571725860419</v>
      </c>
      <c r="E10" s="57">
        <v>23.1928188308488</v>
      </c>
      <c r="F10" s="57">
        <v>16.690475349728</v>
      </c>
      <c r="G10" s="57">
        <v>1.47972726923195</v>
      </c>
      <c r="H10" s="57">
        <v>0.844596900482331</v>
      </c>
      <c r="I10" s="57">
        <v>46.0641863608828</v>
      </c>
      <c r="J10" s="57">
        <v>2.03832082452682</v>
      </c>
      <c r="K10" s="116">
        <v>25.3990568072976</v>
      </c>
      <c r="L10" s="117">
        <v>22.1786279637568</v>
      </c>
    </row>
    <row r="11" spans="1:12" ht="12.75">
      <c r="A11" s="43" t="s">
        <v>28</v>
      </c>
      <c r="B11" s="58">
        <v>5.08023699780236</v>
      </c>
      <c r="C11" s="58">
        <v>5.1940093520368</v>
      </c>
      <c r="D11" s="58">
        <v>-12.2686560415333</v>
      </c>
      <c r="E11" s="58">
        <v>-53.8243718907341</v>
      </c>
      <c r="F11" s="58">
        <v>-10.7614836271266</v>
      </c>
      <c r="G11" s="58">
        <v>1.14285644969021</v>
      </c>
      <c r="H11" s="58">
        <v>1.74004758140689</v>
      </c>
      <c r="I11" s="58">
        <v>78.9908690283216</v>
      </c>
      <c r="J11" s="58">
        <v>2.07533058250193</v>
      </c>
      <c r="K11" s="118">
        <v>3.29852669088229</v>
      </c>
      <c r="L11" s="119">
        <v>2.76647436335044</v>
      </c>
    </row>
    <row r="12" spans="1:12" ht="12.75">
      <c r="A12" s="44" t="s">
        <v>25</v>
      </c>
      <c r="B12" s="59">
        <v>17.2882947539572</v>
      </c>
      <c r="C12" s="59">
        <v>17.7666029991454</v>
      </c>
      <c r="D12" s="59">
        <v>16.3557242764638</v>
      </c>
      <c r="E12" s="59">
        <v>24.5039046538757</v>
      </c>
      <c r="F12" s="59">
        <v>13.6809767297773</v>
      </c>
      <c r="G12" s="59">
        <v>1.26827488326707</v>
      </c>
      <c r="H12" s="59">
        <v>1.06170390250948</v>
      </c>
      <c r="I12" s="59">
        <v>54.297516610669</v>
      </c>
      <c r="J12" s="59">
        <v>1.86544904621723</v>
      </c>
      <c r="K12" s="120">
        <v>14.8297589906327</v>
      </c>
      <c r="L12" s="121">
        <v>13.2212496590779</v>
      </c>
    </row>
    <row r="13" spans="1:12" ht="12.75">
      <c r="A13" s="44" t="s">
        <v>5</v>
      </c>
      <c r="B13" s="59">
        <v>19.0281587671376</v>
      </c>
      <c r="C13" s="59">
        <v>19.6081516746911</v>
      </c>
      <c r="D13" s="59">
        <v>14.5175923276238</v>
      </c>
      <c r="E13" s="59">
        <v>8.7771717191969</v>
      </c>
      <c r="F13" s="59">
        <v>16.4750431395637</v>
      </c>
      <c r="G13" s="59">
        <v>1.04560497422527</v>
      </c>
      <c r="H13" s="59">
        <v>0.241438685910126</v>
      </c>
      <c r="I13" s="59">
        <v>51.8296026997924</v>
      </c>
      <c r="J13" s="59">
        <v>1.58617718470828</v>
      </c>
      <c r="K13" s="120">
        <v>23.0273894250508</v>
      </c>
      <c r="L13" s="121">
        <v>20.2874300653581</v>
      </c>
    </row>
    <row r="14" spans="1:12" ht="12.75">
      <c r="A14" s="44" t="s">
        <v>6</v>
      </c>
      <c r="B14" s="59">
        <v>7.7228100925214</v>
      </c>
      <c r="C14" s="59">
        <v>3.43339785626644</v>
      </c>
      <c r="D14" s="59">
        <v>25.8135150931298</v>
      </c>
      <c r="E14" s="59">
        <v>17.8788173938385</v>
      </c>
      <c r="F14" s="59">
        <v>38.5234118515757</v>
      </c>
      <c r="G14" s="59">
        <v>1.44954878804535</v>
      </c>
      <c r="H14" s="59">
        <v>0.684001011560766</v>
      </c>
      <c r="I14" s="59">
        <v>50.2567416390016</v>
      </c>
      <c r="J14" s="59">
        <v>1.76075611619014</v>
      </c>
      <c r="K14" s="120">
        <v>10.7378041020284</v>
      </c>
      <c r="L14" s="121">
        <v>9.32126847648941</v>
      </c>
    </row>
    <row r="15" spans="1:12" ht="12.75">
      <c r="A15" s="44" t="s">
        <v>7</v>
      </c>
      <c r="B15" s="59">
        <v>15.6464452042663</v>
      </c>
      <c r="C15" s="59">
        <v>15.1823242624633</v>
      </c>
      <c r="D15" s="59">
        <v>16.8667619042382</v>
      </c>
      <c r="E15" s="59">
        <v>21.8482729906918</v>
      </c>
      <c r="F15" s="59">
        <v>13.7607948346453</v>
      </c>
      <c r="G15" s="59">
        <v>1.55808516904606</v>
      </c>
      <c r="H15" s="59">
        <v>0.744212699319052</v>
      </c>
      <c r="I15" s="59">
        <v>47.8061184545516</v>
      </c>
      <c r="J15" s="59">
        <v>2.1385520204088</v>
      </c>
      <c r="K15" s="120">
        <v>34.8404534291339</v>
      </c>
      <c r="L15" s="121">
        <v>31.8302950024863</v>
      </c>
    </row>
    <row r="16" spans="1:12" ht="12.75">
      <c r="A16" s="44" t="s">
        <v>236</v>
      </c>
      <c r="B16" s="60">
        <v>18.3250154981551</v>
      </c>
      <c r="C16" s="60">
        <v>20.1084428131749</v>
      </c>
      <c r="D16" s="60">
        <v>13.7056316057562</v>
      </c>
      <c r="E16" s="60">
        <v>18.5381561517279</v>
      </c>
      <c r="F16" s="60">
        <v>10.2145658016744</v>
      </c>
      <c r="G16" s="59">
        <v>1.36916727637009</v>
      </c>
      <c r="H16" s="59">
        <v>0.938836985260849</v>
      </c>
      <c r="I16" s="59">
        <v>51.3575458226572</v>
      </c>
      <c r="J16" s="59">
        <v>2.13450810112613</v>
      </c>
      <c r="K16" s="120">
        <v>28.252977296239</v>
      </c>
      <c r="L16" s="121">
        <v>25.0431412636313</v>
      </c>
    </row>
    <row r="17" spans="1:12" ht="12.75">
      <c r="A17" s="44" t="s">
        <v>8</v>
      </c>
      <c r="B17" s="59">
        <v>17.5191339043037</v>
      </c>
      <c r="C17" s="59">
        <v>14.791156774768</v>
      </c>
      <c r="D17" s="59">
        <v>29.6788990004709</v>
      </c>
      <c r="E17" s="59">
        <v>40.5978529021713</v>
      </c>
      <c r="F17" s="59">
        <v>28.0227900569356</v>
      </c>
      <c r="G17" s="59">
        <v>2.40243036491533</v>
      </c>
      <c r="H17" s="59">
        <v>1.52862190305817</v>
      </c>
      <c r="I17" s="59">
        <v>47.1944416145839</v>
      </c>
      <c r="J17" s="59">
        <v>2.23668889250352</v>
      </c>
      <c r="K17" s="120">
        <v>17.3162763218858</v>
      </c>
      <c r="L17" s="121">
        <v>14.4175797987305</v>
      </c>
    </row>
    <row r="18" spans="1:12" ht="12.75">
      <c r="A18" s="44" t="s">
        <v>31</v>
      </c>
      <c r="B18" s="59">
        <v>-100</v>
      </c>
      <c r="C18" s="59">
        <v>-100</v>
      </c>
      <c r="D18" s="60" t="s">
        <v>235</v>
      </c>
      <c r="E18" s="60" t="s">
        <v>235</v>
      </c>
      <c r="F18" s="60" t="s">
        <v>235</v>
      </c>
      <c r="G18" s="60" t="s">
        <v>235</v>
      </c>
      <c r="H18" s="60" t="s">
        <v>235</v>
      </c>
      <c r="I18" s="59">
        <v>43.2590767218586</v>
      </c>
      <c r="J18" s="59">
        <v>0.886024521461348</v>
      </c>
      <c r="K18" s="120">
        <v>10.6001534126427</v>
      </c>
      <c r="L18" s="121">
        <v>8.40274844110266</v>
      </c>
    </row>
    <row r="19" spans="1:12" ht="12.75">
      <c r="A19" s="44" t="s">
        <v>11</v>
      </c>
      <c r="B19" s="59">
        <v>24.9037729558372</v>
      </c>
      <c r="C19" s="59">
        <v>-32.305600375137</v>
      </c>
      <c r="D19" s="59">
        <v>28.6464728099479</v>
      </c>
      <c r="E19" s="59">
        <v>31.0327694089595</v>
      </c>
      <c r="F19" s="59">
        <v>18.709561483392</v>
      </c>
      <c r="G19" s="59">
        <v>3.15905096663402</v>
      </c>
      <c r="H19" s="59">
        <v>0.247620814130588</v>
      </c>
      <c r="I19" s="59">
        <v>38.4957374836859</v>
      </c>
      <c r="J19" s="59">
        <v>4.62447773507022</v>
      </c>
      <c r="K19" s="120">
        <v>41.9991683774497</v>
      </c>
      <c r="L19" s="121">
        <v>34.919274928651</v>
      </c>
    </row>
    <row r="20" spans="1:12" ht="12.75">
      <c r="A20" s="44" t="s">
        <v>24</v>
      </c>
      <c r="B20" s="59">
        <v>23.8734126317702</v>
      </c>
      <c r="C20" s="59">
        <v>23.8734127095391</v>
      </c>
      <c r="D20" s="60" t="s">
        <v>235</v>
      </c>
      <c r="E20" s="60" t="s">
        <v>235</v>
      </c>
      <c r="F20" s="60" t="s">
        <v>235</v>
      </c>
      <c r="G20" s="59">
        <v>2.43981667016511</v>
      </c>
      <c r="H20" s="59">
        <v>1.09549215029009</v>
      </c>
      <c r="I20" s="59">
        <v>74.7596263748263</v>
      </c>
      <c r="J20" s="59">
        <v>4.69789047581203</v>
      </c>
      <c r="K20" s="120">
        <v>5.91510475239981</v>
      </c>
      <c r="L20" s="121">
        <v>5.22236970061677</v>
      </c>
    </row>
    <row r="21" spans="1:12" ht="12.75">
      <c r="A21" s="44" t="s">
        <v>29</v>
      </c>
      <c r="B21" s="59">
        <v>47.1162953897954</v>
      </c>
      <c r="C21" s="59">
        <v>47.1417026665809</v>
      </c>
      <c r="D21" s="59">
        <v>-5.38165129139195</v>
      </c>
      <c r="E21" s="59">
        <v>-5.38165129139195</v>
      </c>
      <c r="F21" s="60" t="s">
        <v>235</v>
      </c>
      <c r="G21" s="59">
        <v>0.793821690096557</v>
      </c>
      <c r="H21" s="59">
        <v>0.00531997952449732</v>
      </c>
      <c r="I21" s="59">
        <v>68.229584849473</v>
      </c>
      <c r="J21" s="59">
        <v>1.44707153771999</v>
      </c>
      <c r="K21" s="120">
        <v>2.28475032455383</v>
      </c>
      <c r="L21" s="121">
        <v>1.90587288243578</v>
      </c>
    </row>
    <row r="22" spans="1:12" ht="12.75">
      <c r="A22" s="44" t="s">
        <v>9</v>
      </c>
      <c r="B22" s="59">
        <v>-3.07393817616902</v>
      </c>
      <c r="C22" s="59">
        <v>-2.92690971098941</v>
      </c>
      <c r="D22" s="59">
        <v>-20.2582711555534</v>
      </c>
      <c r="E22" s="59">
        <v>-5.33118468915514</v>
      </c>
      <c r="F22" s="59">
        <v>-25.5091216890955</v>
      </c>
      <c r="G22" s="59">
        <v>2.40477898414645</v>
      </c>
      <c r="H22" s="59">
        <v>1.87297081412142</v>
      </c>
      <c r="I22" s="59">
        <v>69.9972724975531</v>
      </c>
      <c r="J22" s="59">
        <v>3.77935323801626</v>
      </c>
      <c r="K22" s="120">
        <v>14.4765847305576</v>
      </c>
      <c r="L22" s="121">
        <v>14.1108433465059</v>
      </c>
    </row>
    <row r="23" spans="1:12" ht="12.75">
      <c r="A23" s="44" t="s">
        <v>26</v>
      </c>
      <c r="B23" s="59">
        <v>40.0201571238793</v>
      </c>
      <c r="C23" s="59">
        <v>39.9352797445081</v>
      </c>
      <c r="D23" s="60" t="s">
        <v>235</v>
      </c>
      <c r="E23" s="60" t="s">
        <v>235</v>
      </c>
      <c r="F23" s="60" t="s">
        <v>235</v>
      </c>
      <c r="G23" s="59">
        <v>1.8673758345408</v>
      </c>
      <c r="H23" s="59">
        <v>1.47096615891784</v>
      </c>
      <c r="I23" s="59">
        <v>101.778683979529</v>
      </c>
      <c r="J23" s="59">
        <v>2.30352897450487</v>
      </c>
      <c r="K23" s="120">
        <v>1.45479128220281</v>
      </c>
      <c r="L23" s="121">
        <v>1.32205823206276</v>
      </c>
    </row>
    <row r="24" spans="1:12" ht="12.75">
      <c r="A24" s="44" t="s">
        <v>243</v>
      </c>
      <c r="B24" s="60">
        <v>31.3781529711441</v>
      </c>
      <c r="C24" s="60">
        <v>-86.9100071591384</v>
      </c>
      <c r="D24" s="60">
        <v>33.0544314567808</v>
      </c>
      <c r="E24" s="60">
        <v>31.2853862746266</v>
      </c>
      <c r="F24" s="60" t="s">
        <v>235</v>
      </c>
      <c r="G24" s="59">
        <v>4.62890195418651</v>
      </c>
      <c r="H24" s="59">
        <v>0.316839131310371</v>
      </c>
      <c r="I24" s="59">
        <v>48.0793433518605</v>
      </c>
      <c r="J24" s="59">
        <v>8.8799413642631</v>
      </c>
      <c r="K24" s="120">
        <v>30.0797524230011</v>
      </c>
      <c r="L24" s="121">
        <v>24.8025857608541</v>
      </c>
    </row>
    <row r="25" spans="1:12" ht="12.75">
      <c r="A25" s="44" t="s">
        <v>30</v>
      </c>
      <c r="B25" s="60" t="s">
        <v>235</v>
      </c>
      <c r="C25" s="60" t="s">
        <v>235</v>
      </c>
      <c r="D25" s="60" t="s">
        <v>235</v>
      </c>
      <c r="E25" s="60" t="s">
        <v>235</v>
      </c>
      <c r="F25" s="60" t="s">
        <v>235</v>
      </c>
      <c r="G25" s="60" t="s">
        <v>235</v>
      </c>
      <c r="H25" s="60" t="s">
        <v>235</v>
      </c>
      <c r="I25" s="59">
        <v>323.16449043648</v>
      </c>
      <c r="J25" s="59">
        <v>8.19988831843502</v>
      </c>
      <c r="K25" s="120">
        <v>-23.8391998003037</v>
      </c>
      <c r="L25" s="121">
        <v>-17.5035302109207</v>
      </c>
    </row>
    <row r="26" spans="1:12" ht="12.75">
      <c r="A26" s="44" t="s">
        <v>22</v>
      </c>
      <c r="B26" s="59">
        <v>36.3707611527175</v>
      </c>
      <c r="C26" s="59">
        <v>0.869862207594174</v>
      </c>
      <c r="D26" s="59">
        <v>39.0549516102849</v>
      </c>
      <c r="E26" s="59">
        <v>39.938427608192</v>
      </c>
      <c r="F26" s="59">
        <v>32.608365795242</v>
      </c>
      <c r="G26" s="59">
        <v>2.76094039993835</v>
      </c>
      <c r="H26" s="59">
        <v>0.134582888636765</v>
      </c>
      <c r="I26" s="59">
        <v>55.4357842103625</v>
      </c>
      <c r="J26" s="59">
        <v>5.45970086526783</v>
      </c>
      <c r="K26" s="120">
        <v>17.8371711084576</v>
      </c>
      <c r="L26" s="121">
        <v>15.316654541853</v>
      </c>
    </row>
    <row r="27" spans="1:12" ht="12.75">
      <c r="A27" s="44" t="s">
        <v>10</v>
      </c>
      <c r="B27" s="59">
        <v>13.9085544238581</v>
      </c>
      <c r="C27" s="59">
        <v>9.49699270869013</v>
      </c>
      <c r="D27" s="59">
        <v>22.0621190899915</v>
      </c>
      <c r="E27" s="59">
        <v>24.9423359974053</v>
      </c>
      <c r="F27" s="59">
        <v>20.3023573200037</v>
      </c>
      <c r="G27" s="59">
        <v>1.31342035525558</v>
      </c>
      <c r="H27" s="59">
        <v>0.785907079899966</v>
      </c>
      <c r="I27" s="59">
        <v>35.9704290002434</v>
      </c>
      <c r="J27" s="59">
        <v>1.83494055720958</v>
      </c>
      <c r="K27" s="120">
        <v>36.7714112336864</v>
      </c>
      <c r="L27" s="121">
        <v>31.1759222778544</v>
      </c>
    </row>
    <row r="28" spans="1:12" ht="12.75">
      <c r="A28" s="44" t="s">
        <v>32</v>
      </c>
      <c r="B28" s="59">
        <v>7.68006791514979</v>
      </c>
      <c r="C28" s="59">
        <v>7.03893552768391</v>
      </c>
      <c r="D28" s="59">
        <v>15.0221558871776</v>
      </c>
      <c r="E28" s="59">
        <v>33.0486107699006</v>
      </c>
      <c r="F28" s="59">
        <v>10.0623933138249</v>
      </c>
      <c r="G28" s="59">
        <v>1.40505997014417</v>
      </c>
      <c r="H28" s="59">
        <v>0.6295962078979</v>
      </c>
      <c r="I28" s="59">
        <v>49.3484893513335</v>
      </c>
      <c r="J28" s="59">
        <v>1.54007659403325</v>
      </c>
      <c r="K28" s="120">
        <v>19.8850431197358</v>
      </c>
      <c r="L28" s="121">
        <v>17.5711450498888</v>
      </c>
    </row>
    <row r="29" spans="1:12" ht="12.75">
      <c r="A29" s="45" t="s">
        <v>21</v>
      </c>
      <c r="B29" s="61">
        <v>1.57294388831479</v>
      </c>
      <c r="C29" s="61">
        <v>-1.66059234722175</v>
      </c>
      <c r="D29" s="61">
        <v>6.5354917180366</v>
      </c>
      <c r="E29" s="61">
        <v>5.93985573300233</v>
      </c>
      <c r="F29" s="61">
        <v>6.75642459758139</v>
      </c>
      <c r="G29" s="61">
        <v>1.61292831670341</v>
      </c>
      <c r="H29" s="61">
        <v>1.40622585275162</v>
      </c>
      <c r="I29" s="61">
        <v>61.3496359775831</v>
      </c>
      <c r="J29" s="61">
        <v>2.24281282160462</v>
      </c>
      <c r="K29" s="122">
        <v>15.9060702962257</v>
      </c>
      <c r="L29" s="123">
        <v>13.5616776212359</v>
      </c>
    </row>
    <row r="30" spans="3:12" ht="12.75">
      <c r="C30" s="62"/>
      <c r="D30" s="62"/>
      <c r="E30" s="62"/>
      <c r="F30" s="62"/>
      <c r="G30" s="62"/>
      <c r="H30" s="62"/>
      <c r="I30" s="62"/>
      <c r="J30" s="62"/>
      <c r="K30" s="124"/>
      <c r="L30" s="125"/>
    </row>
    <row r="31" spans="1:12" ht="12.75">
      <c r="A31" s="41" t="s">
        <v>239</v>
      </c>
      <c r="B31" s="57">
        <v>19.7784356000408</v>
      </c>
      <c r="C31" s="57">
        <v>21.4055148976618</v>
      </c>
      <c r="D31" s="57">
        <v>18.192905015991</v>
      </c>
      <c r="E31" s="57">
        <v>18.7615442026821</v>
      </c>
      <c r="F31" s="57">
        <v>18.0450180256546</v>
      </c>
      <c r="G31" s="57">
        <v>1.69743164715214</v>
      </c>
      <c r="H31" s="57">
        <v>0.630279294138194</v>
      </c>
      <c r="I31" s="57">
        <v>53.9699543690085</v>
      </c>
      <c r="J31" s="57">
        <v>2.27213294028447</v>
      </c>
      <c r="K31" s="117">
        <v>25.2372974585615</v>
      </c>
      <c r="L31" s="117">
        <v>11.9367782621742</v>
      </c>
    </row>
    <row r="32" spans="3:12" ht="12.75">
      <c r="C32" s="62"/>
      <c r="D32" s="62"/>
      <c r="E32" s="62"/>
      <c r="F32" s="62"/>
      <c r="G32" s="62"/>
      <c r="H32" s="62"/>
      <c r="I32" s="62"/>
      <c r="J32" s="62"/>
      <c r="K32" s="124"/>
      <c r="L32" s="125"/>
    </row>
    <row r="33" spans="1:12" ht="12.75">
      <c r="A33" s="41" t="s">
        <v>23</v>
      </c>
      <c r="B33" s="57">
        <v>13.8184838330964</v>
      </c>
      <c r="C33" s="57">
        <v>15.0681726919762</v>
      </c>
      <c r="D33" s="57">
        <v>11.6332046751836</v>
      </c>
      <c r="E33" s="57">
        <v>16.6309541173996</v>
      </c>
      <c r="F33" s="57">
        <v>2.94665037906998</v>
      </c>
      <c r="G33" s="57">
        <v>1.61491074938577</v>
      </c>
      <c r="H33" s="57">
        <v>0.709174420930402</v>
      </c>
      <c r="I33" s="57">
        <v>65.5332458727161</v>
      </c>
      <c r="J33" s="57">
        <v>3.86793943420287</v>
      </c>
      <c r="K33" s="117">
        <v>10.3664865406737</v>
      </c>
      <c r="L33" s="117">
        <v>7.80165814476262</v>
      </c>
    </row>
    <row r="34" spans="1:12" ht="12.75">
      <c r="A34" s="44" t="s">
        <v>34</v>
      </c>
      <c r="B34" s="59">
        <v>25.6806151179179</v>
      </c>
      <c r="C34" s="59">
        <v>34.1772909017456</v>
      </c>
      <c r="D34" s="59">
        <v>12.4325585036451</v>
      </c>
      <c r="E34" s="59">
        <v>15.5554428659817</v>
      </c>
      <c r="F34" s="59">
        <v>9.86404024324381</v>
      </c>
      <c r="G34" s="59">
        <v>1.51918447605899</v>
      </c>
      <c r="H34" s="59">
        <v>0.931563572496546</v>
      </c>
      <c r="I34" s="59">
        <v>60.3401823872601</v>
      </c>
      <c r="J34" s="59">
        <v>2.95572942139887</v>
      </c>
      <c r="K34" s="118">
        <v>13.1688159875131</v>
      </c>
      <c r="L34" s="121">
        <v>9.54497761811468</v>
      </c>
    </row>
    <row r="35" spans="1:12" ht="12.75">
      <c r="A35" s="44" t="s">
        <v>12</v>
      </c>
      <c r="B35" s="59">
        <v>0.237226402904556</v>
      </c>
      <c r="C35" s="59">
        <v>-5.81030770597576</v>
      </c>
      <c r="D35" s="59">
        <v>10.6648911874045</v>
      </c>
      <c r="E35" s="59">
        <v>17.3218782925116</v>
      </c>
      <c r="F35" s="59">
        <v>-29.3913711378827</v>
      </c>
      <c r="G35" s="59">
        <v>1.86313971601877</v>
      </c>
      <c r="H35" s="59">
        <v>0.465053821948369</v>
      </c>
      <c r="I35" s="59">
        <v>76.8161552816085</v>
      </c>
      <c r="J35" s="59">
        <v>5.20892869841375</v>
      </c>
      <c r="K35" s="120">
        <v>9.37225061033104</v>
      </c>
      <c r="L35" s="121">
        <v>7.80712124478405</v>
      </c>
    </row>
    <row r="36" spans="1:12" ht="12.75">
      <c r="A36" s="44" t="s">
        <v>14</v>
      </c>
      <c r="B36" s="59">
        <v>26.8392650631978</v>
      </c>
      <c r="C36" s="59">
        <v>26.8456452534558</v>
      </c>
      <c r="D36" s="59">
        <v>24.9135014422247</v>
      </c>
      <c r="E36" s="59">
        <v>24.9135014422247</v>
      </c>
      <c r="F36" s="60" t="s">
        <v>235</v>
      </c>
      <c r="G36" s="59">
        <v>0.524868768137749</v>
      </c>
      <c r="H36" s="59">
        <v>0.102240772799434</v>
      </c>
      <c r="I36" s="60">
        <v>65.9010724614001</v>
      </c>
      <c r="J36" s="59">
        <v>3.59779951328601</v>
      </c>
      <c r="K36" s="120">
        <v>0.886455833612163</v>
      </c>
      <c r="L36" s="121">
        <v>0.886455833612163</v>
      </c>
    </row>
    <row r="37" spans="1:12" ht="12.75">
      <c r="A37" s="44" t="s">
        <v>13</v>
      </c>
      <c r="B37" s="59">
        <v>7.45575578362938</v>
      </c>
      <c r="C37" s="59">
        <v>7.48917660938917</v>
      </c>
      <c r="D37" s="59">
        <v>-53.5247218393738</v>
      </c>
      <c r="E37" s="59">
        <v>-53.5247218393738</v>
      </c>
      <c r="F37" s="60" t="s">
        <v>235</v>
      </c>
      <c r="G37" s="59">
        <v>0.873071612893005</v>
      </c>
      <c r="H37" s="59">
        <v>0</v>
      </c>
      <c r="I37" s="59">
        <v>79.6469077211116</v>
      </c>
      <c r="J37" s="59">
        <v>3.46333353141505</v>
      </c>
      <c r="K37" s="120">
        <v>1.68282117738711</v>
      </c>
      <c r="L37" s="121">
        <v>1.40716215195723</v>
      </c>
    </row>
    <row r="38" spans="1:12" ht="12.75">
      <c r="A38" s="44" t="s">
        <v>245</v>
      </c>
      <c r="B38" s="59">
        <v>16.9535570047973</v>
      </c>
      <c r="C38" s="59">
        <v>16.9535567809112</v>
      </c>
      <c r="D38" s="60" t="s">
        <v>235</v>
      </c>
      <c r="E38" s="60" t="s">
        <v>235</v>
      </c>
      <c r="F38" s="60" t="s">
        <v>235</v>
      </c>
      <c r="G38" s="59">
        <v>0.31267525037887</v>
      </c>
      <c r="H38" s="59">
        <v>0</v>
      </c>
      <c r="I38" s="59">
        <v>65.0244787692145</v>
      </c>
      <c r="J38" s="59">
        <v>1.51859144492819</v>
      </c>
      <c r="K38" s="120">
        <v>4.82406162225162</v>
      </c>
      <c r="L38" s="121">
        <v>4.82406162225162</v>
      </c>
    </row>
    <row r="39" spans="1:12" ht="12.75">
      <c r="A39" s="45" t="s">
        <v>33</v>
      </c>
      <c r="B39" s="61">
        <v>-100</v>
      </c>
      <c r="C39" s="61">
        <v>-100</v>
      </c>
      <c r="D39" s="63" t="s">
        <v>235</v>
      </c>
      <c r="E39" s="63" t="s">
        <v>235</v>
      </c>
      <c r="F39" s="63" t="s">
        <v>235</v>
      </c>
      <c r="G39" s="63" t="s">
        <v>235</v>
      </c>
      <c r="H39" s="63" t="s">
        <v>235</v>
      </c>
      <c r="I39" s="61">
        <v>24.9540503853002</v>
      </c>
      <c r="J39" s="61">
        <v>1.69282190157106</v>
      </c>
      <c r="K39" s="122">
        <v>11.6521995992698</v>
      </c>
      <c r="L39" s="123">
        <v>7.72536180764074</v>
      </c>
    </row>
    <row r="40" spans="3:12" ht="12.75">
      <c r="C40" s="62"/>
      <c r="D40" s="62"/>
      <c r="E40" s="62"/>
      <c r="F40" s="62"/>
      <c r="G40" s="62"/>
      <c r="H40" s="62"/>
      <c r="I40" s="62"/>
      <c r="J40" s="62"/>
      <c r="K40" s="124"/>
      <c r="L40" s="125"/>
    </row>
    <row r="41" spans="1:12" ht="12.75">
      <c r="A41" s="40" t="s">
        <v>15</v>
      </c>
      <c r="B41" s="57">
        <v>15.3023650122776</v>
      </c>
      <c r="C41" s="57">
        <v>13.7170645234995</v>
      </c>
      <c r="D41" s="57">
        <v>18.6409503185746</v>
      </c>
      <c r="E41" s="57">
        <v>22.0925317923564</v>
      </c>
      <c r="F41" s="57">
        <v>16.6276930291827</v>
      </c>
      <c r="G41" s="57">
        <v>1.51551178618205</v>
      </c>
      <c r="H41" s="57">
        <v>0.809262585976749</v>
      </c>
      <c r="I41" s="57">
        <v>48.7461697518493</v>
      </c>
      <c r="J41" s="57">
        <v>2.18489658580999</v>
      </c>
      <c r="K41" s="117">
        <v>23.3157429745</v>
      </c>
      <c r="L41" s="117">
        <v>19.2395821514628</v>
      </c>
    </row>
    <row r="42" spans="1:12" ht="12.75">
      <c r="A42" s="46"/>
      <c r="B42" s="47"/>
      <c r="C42" s="64"/>
      <c r="D42" s="64"/>
      <c r="E42" s="64"/>
      <c r="F42" s="64"/>
      <c r="G42" s="64"/>
      <c r="H42" s="64"/>
      <c r="I42" s="64"/>
      <c r="J42" s="64"/>
      <c r="K42" s="124"/>
      <c r="L42" s="126"/>
    </row>
    <row r="43" spans="1:12" ht="12.75">
      <c r="A43" s="3" t="s">
        <v>59</v>
      </c>
      <c r="B43" s="25"/>
      <c r="C43" s="25"/>
      <c r="D43" s="25"/>
      <c r="E43" s="25"/>
      <c r="F43" s="25"/>
      <c r="G43" s="25"/>
      <c r="H43" s="25"/>
      <c r="I43" s="25"/>
      <c r="J43" s="25"/>
      <c r="K43" s="65"/>
      <c r="L43" s="65"/>
    </row>
    <row r="44" ht="12.75">
      <c r="A44" s="3" t="s">
        <v>240</v>
      </c>
    </row>
    <row r="45" ht="12.75">
      <c r="A45" s="3" t="s">
        <v>241</v>
      </c>
    </row>
    <row r="46" ht="12.75">
      <c r="A46" s="3" t="s">
        <v>242</v>
      </c>
    </row>
    <row r="48" ht="12.75">
      <c r="A48" s="3" t="s">
        <v>100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2"/>
  <sheetViews>
    <sheetView workbookViewId="0" topLeftCell="A1">
      <selection activeCell="A1" sqref="A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7" ht="12.75">
      <c r="A1" s="66" t="s">
        <v>137</v>
      </c>
      <c r="G1" s="70" t="s">
        <v>144</v>
      </c>
    </row>
    <row r="2" ht="12.75">
      <c r="A2" s="66" t="s">
        <v>138</v>
      </c>
    </row>
    <row r="3" ht="12.75">
      <c r="A3" s="66"/>
    </row>
    <row r="4" ht="12.75">
      <c r="A4" s="66"/>
    </row>
    <row r="5" ht="12.75">
      <c r="A5" s="66"/>
    </row>
    <row r="6" ht="12.75">
      <c r="A6" s="66"/>
    </row>
    <row r="7" ht="12.75">
      <c r="A7" s="66"/>
    </row>
    <row r="8" ht="15.75">
      <c r="A8" s="67" t="s">
        <v>109</v>
      </c>
    </row>
    <row r="10" spans="1:2" ht="12.75">
      <c r="A10" s="72" t="s">
        <v>148</v>
      </c>
      <c r="B10" s="72" t="s">
        <v>149</v>
      </c>
    </row>
    <row r="11" spans="1:2" ht="15.75">
      <c r="A11" s="71"/>
      <c r="B11" s="71"/>
    </row>
    <row r="12" spans="1:2" ht="12.75">
      <c r="A12" s="207" t="s">
        <v>84</v>
      </c>
      <c r="B12" s="208"/>
    </row>
    <row r="13" spans="1:2" ht="12.75">
      <c r="A13" s="73"/>
      <c r="B13" s="74"/>
    </row>
    <row r="14" spans="1:2" ht="12.75">
      <c r="A14" s="75" t="s">
        <v>84</v>
      </c>
      <c r="B14" s="76" t="s">
        <v>233</v>
      </c>
    </row>
    <row r="16" spans="1:2" ht="12.75">
      <c r="A16" s="207" t="s">
        <v>226</v>
      </c>
      <c r="B16" s="208"/>
    </row>
    <row r="17" spans="1:2" ht="12.75">
      <c r="A17" s="77"/>
      <c r="B17" s="78"/>
    </row>
    <row r="18" spans="1:2" ht="12.75">
      <c r="A18" s="79" t="s">
        <v>150</v>
      </c>
      <c r="B18" s="80">
        <v>1110</v>
      </c>
    </row>
    <row r="19" spans="1:2" ht="12.75">
      <c r="A19" s="79" t="str">
        <f>"+ Ptmos. comerciales (a más de 1 año)"</f>
        <v>+ Ptmos. comerciales (a más de 1 año)</v>
      </c>
      <c r="B19" s="81">
        <v>1205</v>
      </c>
    </row>
    <row r="20" spans="1:2" ht="12.75">
      <c r="A20" s="79" t="str">
        <f>"+ Ptmos. hipot. endosables para fines generales"</f>
        <v>+ Ptmos. hipot. endosables para fines generales</v>
      </c>
      <c r="B20" s="81">
        <v>1248</v>
      </c>
    </row>
    <row r="21" spans="1:2" ht="12.75">
      <c r="A21" s="79" t="str">
        <f>"+ Ptmos. fines generales en letras de crédito"</f>
        <v>+ Ptmos. fines generales en letras de crédito</v>
      </c>
      <c r="B21" s="81">
        <v>1305</v>
      </c>
    </row>
    <row r="22" spans="1:2" ht="12.75">
      <c r="A22" s="79" t="str">
        <f>"+ Deudores por boletas de garantía y consig. judic. (hasta 1 año)"</f>
        <v>+ Deudores por boletas de garantía y consig. judic. (hasta 1 año)</v>
      </c>
      <c r="B22" s="81">
        <v>1605</v>
      </c>
    </row>
    <row r="23" spans="1:2" ht="12.75">
      <c r="A23" s="79" t="str">
        <f>"+ Deudores por avales y fianzas (hasta 1 año)"</f>
        <v>+ Deudores por avales y fianzas (hasta 1 año)</v>
      </c>
      <c r="B23" s="81">
        <v>1610</v>
      </c>
    </row>
    <row r="24" spans="1:2" ht="12.75">
      <c r="A24" s="79" t="str">
        <f>"+ Deudores por boletas de garantía y consig. judic. (a más de 1 año)"</f>
        <v>+ Deudores por boletas de garantía y consig. judic. (a más de 1 año)</v>
      </c>
      <c r="B24" s="81">
        <v>1655</v>
      </c>
    </row>
    <row r="25" spans="1:2" ht="12.75">
      <c r="A25" s="79" t="str">
        <f>"+ Deudores por avales y fianzas (a más de 1 año)"</f>
        <v>+ Deudores por avales y fianzas (a más de 1 año)</v>
      </c>
      <c r="B25" s="81">
        <v>1660</v>
      </c>
    </row>
    <row r="26" spans="1:2" ht="12.75">
      <c r="A26" s="79" t="str">
        <f>"+ Créditos comerciales vencidos"</f>
        <v>+ Créditos comerciales vencidos</v>
      </c>
      <c r="B26" s="81">
        <v>1401</v>
      </c>
    </row>
    <row r="27" spans="1:2" ht="12.75">
      <c r="A27" s="79" t="str">
        <f>"+ Operaciones de factoraje"</f>
        <v>+ Operaciones de factoraje</v>
      </c>
      <c r="B27" s="81">
        <v>1135</v>
      </c>
    </row>
    <row r="28" spans="1:2" ht="12.75">
      <c r="A28" s="79" t="str">
        <f>"+ Operaciones de factoraje (vencidas)"</f>
        <v>+ Operaciones de factoraje (vencidas)</v>
      </c>
      <c r="B28" s="81">
        <v>1418</v>
      </c>
    </row>
    <row r="29" spans="1:2" ht="12.75">
      <c r="A29" s="79" t="str">
        <f>"+ Contratos de leasing comercial"</f>
        <v>+ Contratos de leasing comercial</v>
      </c>
      <c r="B29" s="81" t="s">
        <v>151</v>
      </c>
    </row>
    <row r="30" spans="1:2" ht="12.75">
      <c r="A30" s="82" t="str">
        <f>"+ Intereses diferidos leasing comercial"</f>
        <v>+ Intereses diferidos leasing comercial</v>
      </c>
      <c r="B30" s="83" t="s">
        <v>152</v>
      </c>
    </row>
    <row r="31" spans="1:2" ht="12.75">
      <c r="A31" s="82" t="str">
        <f>"+ IVA diferido leasing comercial"</f>
        <v>+ IVA diferido leasing comercial</v>
      </c>
      <c r="B31" s="83" t="s">
        <v>153</v>
      </c>
    </row>
    <row r="32" spans="1:2" ht="12.75">
      <c r="A32" s="79" t="str">
        <f>"+ Contratos de leasing comercial vencidos"</f>
        <v>+ Contratos de leasing comercial vencidos</v>
      </c>
      <c r="B32" s="81" t="s">
        <v>154</v>
      </c>
    </row>
    <row r="33" spans="1:2" ht="12.75">
      <c r="A33" s="79" t="str">
        <f>"+ Otros saldos de la partida 1350"</f>
        <v>+ Otros saldos de la partida 1350</v>
      </c>
      <c r="B33" s="84" t="s">
        <v>155</v>
      </c>
    </row>
    <row r="34" spans="1:2" ht="12.75">
      <c r="A34" s="79" t="str">
        <f>"+ Varios deudores"</f>
        <v>+ Varios deudores</v>
      </c>
      <c r="B34" s="81">
        <v>1140</v>
      </c>
    </row>
    <row r="35" spans="1:2" ht="12.75">
      <c r="A35" s="79" t="str">
        <f>"+ Ptmos. productivos reprogramados"</f>
        <v>+ Ptmos. productivos reprogramados</v>
      </c>
      <c r="B35" s="81">
        <v>1235</v>
      </c>
    </row>
    <row r="36" spans="1:2" ht="12.75">
      <c r="A36" s="79" t="s">
        <v>156</v>
      </c>
      <c r="B36" s="81">
        <v>1245</v>
      </c>
    </row>
    <row r="37" spans="1:2" ht="12.75">
      <c r="A37" s="79" t="str">
        <f>"+ Dividendos por cobrar"</f>
        <v>+ Dividendos por cobrar</v>
      </c>
      <c r="B37" s="81">
        <v>1315</v>
      </c>
    </row>
    <row r="38" spans="1:2" ht="12.75">
      <c r="A38" s="79" t="str">
        <f>"+ Créditos importación (hasta 1 año)"</f>
        <v>+ Créditos importación (hasta 1 año)</v>
      </c>
      <c r="B38" s="81">
        <v>1125</v>
      </c>
    </row>
    <row r="39" spans="1:2" ht="12.75">
      <c r="A39" s="79" t="str">
        <f>"+ Créditos exportación (hasta 1 año)"</f>
        <v>+ Créditos exportación (hasta 1 año)</v>
      </c>
      <c r="B39" s="81">
        <v>1130</v>
      </c>
    </row>
    <row r="40" spans="1:2" ht="12.75">
      <c r="A40" s="79" t="str">
        <f>"+ Créditos importación (a más de 1 año)"</f>
        <v>+ Créditos importación (a más de 1 año)</v>
      </c>
      <c r="B40" s="81">
        <v>1220</v>
      </c>
    </row>
    <row r="41" spans="1:2" ht="12.75">
      <c r="A41" s="79" t="str">
        <f>"+ Créditos exportación (a más de 1 año)"</f>
        <v>+ Créditos exportación (a más de 1 año)</v>
      </c>
      <c r="B41" s="81">
        <v>1225</v>
      </c>
    </row>
    <row r="42" spans="1:2" ht="12.75">
      <c r="A42" s="79" t="str">
        <f>"+ Deudores por carta de crédito simples o documentarias"</f>
        <v>+ Deudores por carta de crédito simples o documentarias</v>
      </c>
      <c r="B42" s="81">
        <v>1615</v>
      </c>
    </row>
    <row r="43" spans="1:2" ht="12.75">
      <c r="A43" s="79" t="str">
        <f>"+ Deudores por carta crédito del exterior confirmadas"</f>
        <v>+ Deudores por carta crédito del exterior confirmadas</v>
      </c>
      <c r="B43" s="81">
        <v>1620</v>
      </c>
    </row>
    <row r="44" spans="1:2" ht="12.75">
      <c r="A44" s="79" t="str">
        <f>"+ Ptmos. a instituciones financieras (hasta 1 año)"</f>
        <v>+ Ptmos. a instituciones financieras (hasta 1 año)</v>
      </c>
      <c r="B44" s="81">
        <v>1120</v>
      </c>
    </row>
    <row r="45" spans="1:2" ht="12.75">
      <c r="A45" s="75" t="str">
        <f>"+ Ptmos. a instituciones financieras (a más de 1 año)"</f>
        <v>+ Ptmos. a instituciones financieras (a más de 1 año)</v>
      </c>
      <c r="B45" s="85">
        <v>1215</v>
      </c>
    </row>
    <row r="47" spans="1:2" ht="12.75">
      <c r="A47" s="207" t="s">
        <v>157</v>
      </c>
      <c r="B47" s="208"/>
    </row>
    <row r="48" spans="1:2" ht="12.75">
      <c r="A48" s="78"/>
      <c r="B48" s="78"/>
    </row>
    <row r="49" spans="1:2" ht="12.75">
      <c r="A49" s="82" t="s">
        <v>150</v>
      </c>
      <c r="B49" s="80">
        <v>1110</v>
      </c>
    </row>
    <row r="50" spans="1:2" ht="12.75">
      <c r="A50" s="79" t="str">
        <f>"+ Ptmos. comerciales (a más de 1 año)"</f>
        <v>+ Ptmos. comerciales (a más de 1 año)</v>
      </c>
      <c r="B50" s="81">
        <v>1205</v>
      </c>
    </row>
    <row r="51" spans="1:2" ht="12.75">
      <c r="A51" s="79" t="str">
        <f>"+ Ptmos. hipot. endosables para fines generales"</f>
        <v>+ Ptmos. hipot. endosables para fines generales</v>
      </c>
      <c r="B51" s="81">
        <v>1248</v>
      </c>
    </row>
    <row r="52" spans="1:2" ht="12.75">
      <c r="A52" s="82" t="str">
        <f>"+ Ptmos. fines generales en letras de crédito"</f>
        <v>+ Ptmos. fines generales en letras de crédito</v>
      </c>
      <c r="B52" s="81">
        <v>1305</v>
      </c>
    </row>
    <row r="53" spans="1:2" ht="12.75">
      <c r="A53" s="79" t="str">
        <f>"+ Deudores por boletas de garantía y consig. judic. (hasta 1 año)"</f>
        <v>+ Deudores por boletas de garantía y consig. judic. (hasta 1 año)</v>
      </c>
      <c r="B53" s="81">
        <v>1605</v>
      </c>
    </row>
    <row r="54" spans="1:2" ht="12.75">
      <c r="A54" s="79" t="str">
        <f>"+ Deudores por avales y fianzas (hasta 1 año)"</f>
        <v>+ Deudores por avales y fianzas (hasta 1 año)</v>
      </c>
      <c r="B54" s="81">
        <v>1610</v>
      </c>
    </row>
    <row r="55" spans="1:2" ht="12.75">
      <c r="A55" s="79" t="str">
        <f>"+ Deudores por boletas de garantía y consig. judic. (a más de 1 año)"</f>
        <v>+ Deudores por boletas de garantía y consig. judic. (a más de 1 año)</v>
      </c>
      <c r="B55" s="81">
        <v>1655</v>
      </c>
    </row>
    <row r="56" spans="1:2" ht="12.75">
      <c r="A56" s="79" t="str">
        <f>"+ Deudores por avales y fianzas (a más de 1 año)"</f>
        <v>+ Deudores por avales y fianzas (a más de 1 año)</v>
      </c>
      <c r="B56" s="81">
        <v>1660</v>
      </c>
    </row>
    <row r="57" spans="1:2" ht="12.75">
      <c r="A57" s="82" t="str">
        <f>"+ Créditos comerciales vencidos"</f>
        <v>+ Créditos comerciales vencidos</v>
      </c>
      <c r="B57" s="81">
        <v>1401</v>
      </c>
    </row>
    <row r="58" spans="1:2" ht="12.75">
      <c r="A58" s="82" t="str">
        <f>"+ Operaciones de factoraje"</f>
        <v>+ Operaciones de factoraje</v>
      </c>
      <c r="B58" s="81">
        <v>1135</v>
      </c>
    </row>
    <row r="59" spans="1:2" ht="12.75">
      <c r="A59" s="82" t="str">
        <f>"+ Operaciones de factoraje (vencidas)"</f>
        <v>+ Operaciones de factoraje (vencidas)</v>
      </c>
      <c r="B59" s="81">
        <v>1418</v>
      </c>
    </row>
    <row r="60" spans="1:2" ht="12.75">
      <c r="A60" s="82" t="str">
        <f>"+ Contratos de leasing comercial"</f>
        <v>+ Contratos de leasing comercial</v>
      </c>
      <c r="B60" s="81" t="s">
        <v>151</v>
      </c>
    </row>
    <row r="61" spans="1:2" ht="12.75">
      <c r="A61" s="82" t="str">
        <f>"+ Intereses diferidos leasing comercial"</f>
        <v>+ Intereses diferidos leasing comercial</v>
      </c>
      <c r="B61" s="83" t="s">
        <v>152</v>
      </c>
    </row>
    <row r="62" spans="1:2" ht="12.75">
      <c r="A62" s="82" t="str">
        <f>"+ IVA diferido leasing comercial"</f>
        <v>+ IVA diferido leasing comercial</v>
      </c>
      <c r="B62" s="83" t="s">
        <v>153</v>
      </c>
    </row>
    <row r="63" spans="1:2" ht="12.75">
      <c r="A63" s="82" t="str">
        <f>"+ Contratos de leasing comercial vencidos"</f>
        <v>+ Contratos de leasing comercial vencidos</v>
      </c>
      <c r="B63" s="81" t="s">
        <v>154</v>
      </c>
    </row>
    <row r="64" spans="1:2" ht="12.75">
      <c r="A64" s="82" t="str">
        <f>"+ Otros saldos de la partida 1350"</f>
        <v>+ Otros saldos de la partida 1350</v>
      </c>
      <c r="B64" s="84" t="s">
        <v>155</v>
      </c>
    </row>
    <row r="65" spans="1:2" ht="12.75">
      <c r="A65" s="82" t="str">
        <f>"+ Varios deudores"</f>
        <v>+ Varios deudores</v>
      </c>
      <c r="B65" s="81">
        <v>1140</v>
      </c>
    </row>
    <row r="66" spans="1:2" ht="12.75">
      <c r="A66" s="82" t="str">
        <f>"+ Ptmos. productivos reprogramados"</f>
        <v>+ Ptmos. productivos reprogramados</v>
      </c>
      <c r="B66" s="81">
        <v>1235</v>
      </c>
    </row>
    <row r="67" spans="1:2" ht="12.75">
      <c r="A67" s="82" t="s">
        <v>156</v>
      </c>
      <c r="B67" s="81">
        <v>1245</v>
      </c>
    </row>
    <row r="68" spans="1:2" ht="12.75">
      <c r="A68" s="86" t="str">
        <f>"+ Dividendos por cobrar"</f>
        <v>+ Dividendos por cobrar</v>
      </c>
      <c r="B68" s="85">
        <v>1315</v>
      </c>
    </row>
    <row r="70" spans="1:2" ht="12.75">
      <c r="A70" s="207" t="s">
        <v>158</v>
      </c>
      <c r="B70" s="208"/>
    </row>
    <row r="71" spans="1:2" ht="12.75">
      <c r="A71" s="78"/>
      <c r="B71" s="78"/>
    </row>
    <row r="72" spans="1:2" ht="12.75">
      <c r="A72" s="82" t="s">
        <v>159</v>
      </c>
      <c r="B72" s="84">
        <v>1125</v>
      </c>
    </row>
    <row r="73" spans="1:2" ht="12.75">
      <c r="A73" s="82" t="str">
        <f>"+ Créditos exportación (hasta 1 año)"</f>
        <v>+ Créditos exportación (hasta 1 año)</v>
      </c>
      <c r="B73" s="81">
        <v>1130</v>
      </c>
    </row>
    <row r="74" spans="1:2" ht="12.75">
      <c r="A74" s="82" t="str">
        <f>"+ Créditos importación (a más de 1 año)"</f>
        <v>+ Créditos importación (a más de 1 año)</v>
      </c>
      <c r="B74" s="81">
        <v>1220</v>
      </c>
    </row>
    <row r="75" spans="1:2" ht="12.75">
      <c r="A75" s="82" t="str">
        <f>"+ Créditos exportación (a más de 1 año)"</f>
        <v>+ Créditos exportación (a más de 1 año)</v>
      </c>
      <c r="B75" s="81">
        <v>1225</v>
      </c>
    </row>
    <row r="76" spans="1:2" ht="12.75">
      <c r="A76" s="82" t="str">
        <f>"+ Deudores por carta de crédito simples o documentarias"</f>
        <v>+ Deudores por carta de crédito simples o documentarias</v>
      </c>
      <c r="B76" s="81">
        <v>1615</v>
      </c>
    </row>
    <row r="77" spans="1:2" ht="12.75">
      <c r="A77" s="86" t="str">
        <f>"+ Deudores por carta crédito del exterior confirmadas"</f>
        <v>+ Deudores por carta crédito del exterior confirmadas</v>
      </c>
      <c r="B77" s="85">
        <v>1620</v>
      </c>
    </row>
    <row r="79" spans="1:2" ht="12.75">
      <c r="A79" s="207" t="s">
        <v>160</v>
      </c>
      <c r="B79" s="208"/>
    </row>
    <row r="80" spans="1:2" ht="12.75">
      <c r="A80" s="77"/>
      <c r="B80" s="78"/>
    </row>
    <row r="81" spans="1:2" ht="12.75">
      <c r="A81" s="79" t="s">
        <v>161</v>
      </c>
      <c r="B81" s="80">
        <v>1120</v>
      </c>
    </row>
    <row r="82" spans="1:2" ht="12.75">
      <c r="A82" s="75" t="str">
        <f>"+ Ptmos. a instituciones Financieras (a más de 1 año)"</f>
        <v>+ Ptmos. a instituciones Financieras (a más de 1 año)</v>
      </c>
      <c r="B82" s="85">
        <v>1215</v>
      </c>
    </row>
    <row r="84" spans="1:2" ht="12.75">
      <c r="A84" s="207" t="s">
        <v>162</v>
      </c>
      <c r="B84" s="208"/>
    </row>
    <row r="85" spans="1:2" ht="12.75">
      <c r="A85" s="77"/>
      <c r="B85" s="78"/>
    </row>
    <row r="86" spans="1:2" ht="12.75">
      <c r="A86" s="79" t="s">
        <v>163</v>
      </c>
      <c r="B86" s="84">
        <v>1115</v>
      </c>
    </row>
    <row r="87" spans="1:2" ht="12.75">
      <c r="A87" s="79" t="str">
        <f>"+ Ptmos. de consumo (a más de 1 año)"</f>
        <v>+ Ptmos. de consumo (a más de 1 año)</v>
      </c>
      <c r="B87" s="81">
        <v>1210</v>
      </c>
    </row>
    <row r="88" spans="1:2" ht="12.75">
      <c r="A88" s="79" t="str">
        <f>"+ Créditos de consumo vencidos"</f>
        <v>+ Créditos de consumo vencidos</v>
      </c>
      <c r="B88" s="81">
        <v>1411</v>
      </c>
    </row>
    <row r="89" spans="1:2" ht="12.75">
      <c r="A89" s="79" t="str">
        <f>"+ Contratos de leasing de consumo"</f>
        <v>+ Contratos de leasing de consumo</v>
      </c>
      <c r="B89" s="81" t="s">
        <v>164</v>
      </c>
    </row>
    <row r="90" spans="1:2" ht="12.75">
      <c r="A90" s="82" t="str">
        <f>"+ Intereses diferidos leasing  de consumo"</f>
        <v>+ Intereses diferidos leasing  de consumo</v>
      </c>
      <c r="B90" s="83" t="s">
        <v>165</v>
      </c>
    </row>
    <row r="91" spans="1:2" ht="12.75">
      <c r="A91" s="82" t="str">
        <f>"+ IVA diferido leasing de consumo"</f>
        <v>+ IVA diferido leasing de consumo</v>
      </c>
      <c r="B91" s="83" t="s">
        <v>166</v>
      </c>
    </row>
    <row r="92" spans="1:2" ht="12.75">
      <c r="A92" s="79" t="str">
        <f>"+ Contratos de leasing consumo vencidos"</f>
        <v>+ Contratos de leasing consumo vencidos</v>
      </c>
      <c r="B92" s="81" t="s">
        <v>167</v>
      </c>
    </row>
    <row r="93" spans="1:2" ht="12.75">
      <c r="A93" s="79" t="str">
        <f>"+ Créditos hipotecarios para vivienda"</f>
        <v>+ Créditos hipotecarios para vivienda</v>
      </c>
      <c r="B93" s="81">
        <v>1246</v>
      </c>
    </row>
    <row r="94" spans="1:2" ht="12.75">
      <c r="A94" s="79" t="s">
        <v>168</v>
      </c>
      <c r="B94" s="81">
        <v>1247</v>
      </c>
    </row>
    <row r="95" spans="1:2" ht="12.75">
      <c r="A95" s="79" t="str">
        <f>"+ Ptmos. para vivienda en letras de crédito"</f>
        <v>+ Ptmos. para vivienda en letras de crédito</v>
      </c>
      <c r="B95" s="81">
        <v>1310</v>
      </c>
    </row>
    <row r="96" spans="1:2" ht="12.75">
      <c r="A96" s="79" t="str">
        <f>"+ Créditos hipotecarios para vivienda vencidos"</f>
        <v>+ Créditos hipotecarios para vivienda vencidos</v>
      </c>
      <c r="B96" s="81">
        <v>1416</v>
      </c>
    </row>
    <row r="97" spans="1:2" ht="12.75">
      <c r="A97" s="79" t="str">
        <f>"+ Contratos de leasing de vivienda"</f>
        <v>+ Contratos de leasing de vivienda</v>
      </c>
      <c r="B97" s="81" t="s">
        <v>169</v>
      </c>
    </row>
    <row r="98" spans="1:2" ht="12.75">
      <c r="A98" s="82" t="str">
        <f>"+ Intereses diferidos leasing de vivienda"</f>
        <v>+ Intereses diferidos leasing de vivienda</v>
      </c>
      <c r="B98" s="83" t="s">
        <v>170</v>
      </c>
    </row>
    <row r="99" spans="1:2" ht="12.75">
      <c r="A99" s="82" t="str">
        <f>"+ IVA diferido leasing de vivienda"</f>
        <v>+ IVA diferido leasing de vivienda</v>
      </c>
      <c r="B99" s="83" t="s">
        <v>171</v>
      </c>
    </row>
    <row r="100" spans="1:2" ht="12.75">
      <c r="A100" s="75" t="str">
        <f>"+ Contratos de leasing de vivienda vencidos"</f>
        <v>+ Contratos de leasing de vivienda vencidos</v>
      </c>
      <c r="B100" s="85" t="s">
        <v>172</v>
      </c>
    </row>
    <row r="102" spans="1:2" ht="12.75">
      <c r="A102" s="207" t="s">
        <v>227</v>
      </c>
      <c r="B102" s="208"/>
    </row>
    <row r="103" spans="1:2" ht="12.75">
      <c r="A103" s="78"/>
      <c r="B103" s="78"/>
    </row>
    <row r="104" spans="1:2" ht="12.75">
      <c r="A104" s="82" t="s">
        <v>163</v>
      </c>
      <c r="B104" s="84">
        <v>1115</v>
      </c>
    </row>
    <row r="105" spans="1:2" ht="12.75">
      <c r="A105" s="82" t="str">
        <f>"+ Ptmos. de consumo (a más de 1 año)"</f>
        <v>+ Ptmos. de consumo (a más de 1 año)</v>
      </c>
      <c r="B105" s="81">
        <v>1210</v>
      </c>
    </row>
    <row r="106" spans="1:2" ht="12.75">
      <c r="A106" s="82" t="str">
        <f>"+ Créditos de consumo vencidos"</f>
        <v>+ Créditos de consumo vencidos</v>
      </c>
      <c r="B106" s="81">
        <v>1411</v>
      </c>
    </row>
    <row r="107" spans="1:2" ht="12.75">
      <c r="A107" s="82" t="str">
        <f>"+ Contratos de leasing de consumo"</f>
        <v>+ Contratos de leasing de consumo</v>
      </c>
      <c r="B107" s="81" t="s">
        <v>164</v>
      </c>
    </row>
    <row r="108" spans="1:2" ht="12.75">
      <c r="A108" s="82" t="str">
        <f>"+ Intereses diferidos leasing  de consumo"</f>
        <v>+ Intereses diferidos leasing  de consumo</v>
      </c>
      <c r="B108" s="84" t="s">
        <v>165</v>
      </c>
    </row>
    <row r="109" spans="1:2" ht="12.75">
      <c r="A109" s="82" t="str">
        <f>"+ IVA diferido leasing de consumo"</f>
        <v>+ IVA diferido leasing de consumo</v>
      </c>
      <c r="B109" s="84" t="s">
        <v>166</v>
      </c>
    </row>
    <row r="110" spans="1:2" ht="12.75">
      <c r="A110" s="86" t="str">
        <f>"+ Contratos de leasing consumo vencidos"</f>
        <v>+ Contratos de leasing consumo vencidos</v>
      </c>
      <c r="B110" s="85" t="s">
        <v>167</v>
      </c>
    </row>
    <row r="112" spans="1:2" ht="12.75">
      <c r="A112" s="207" t="s">
        <v>228</v>
      </c>
      <c r="B112" s="208"/>
    </row>
    <row r="113" spans="1:2" ht="12.75">
      <c r="A113" s="77"/>
      <c r="B113" s="78"/>
    </row>
    <row r="114" spans="1:2" ht="12.75">
      <c r="A114" s="79" t="s">
        <v>173</v>
      </c>
      <c r="B114" s="84">
        <v>1246</v>
      </c>
    </row>
    <row r="115" spans="1:2" ht="12.75">
      <c r="A115" s="79" t="s">
        <v>168</v>
      </c>
      <c r="B115" s="81">
        <v>1247</v>
      </c>
    </row>
    <row r="116" spans="1:2" ht="12.75">
      <c r="A116" s="79" t="str">
        <f>"+ Ptmos. para vivienda en letras de crédito"</f>
        <v>+ Ptmos. para vivienda en letras de crédito</v>
      </c>
      <c r="B116" s="81">
        <v>1310</v>
      </c>
    </row>
    <row r="117" spans="1:2" ht="12.75">
      <c r="A117" s="79" t="str">
        <f>"+ Créditos hipotecarios para vivienda vencidos"</f>
        <v>+ Créditos hipotecarios para vivienda vencidos</v>
      </c>
      <c r="B117" s="81">
        <v>1416</v>
      </c>
    </row>
    <row r="118" spans="1:2" ht="12.75">
      <c r="A118" s="79" t="str">
        <f>"+ Contratos de leasing de vivienda"</f>
        <v>+ Contratos de leasing de vivienda</v>
      </c>
      <c r="B118" s="81" t="s">
        <v>169</v>
      </c>
    </row>
    <row r="119" spans="1:2" ht="12.75">
      <c r="A119" s="82" t="str">
        <f>"+ Intereses diferidos leasing de vivienda"</f>
        <v>+ Intereses diferidos leasing de vivienda</v>
      </c>
      <c r="B119" s="83" t="s">
        <v>170</v>
      </c>
    </row>
    <row r="120" spans="1:2" ht="12.75">
      <c r="A120" s="82" t="str">
        <f>"+ IVA diferido leasing de vivienda"</f>
        <v>+ IVA diferido leasing de vivienda</v>
      </c>
      <c r="B120" s="83" t="s">
        <v>171</v>
      </c>
    </row>
    <row r="121" spans="1:2" ht="12.75">
      <c r="A121" s="75" t="str">
        <f>"+ Contratos de leasing de vivienda vencidos"</f>
        <v>+ Contratos de leasing de vivienda vencidos</v>
      </c>
      <c r="B121" s="85" t="s">
        <v>172</v>
      </c>
    </row>
    <row r="122" spans="1:2" ht="12.75">
      <c r="A122" s="19"/>
      <c r="B122" s="87"/>
    </row>
    <row r="123" spans="1:2" ht="15">
      <c r="A123" s="211" t="s">
        <v>253</v>
      </c>
      <c r="B123" s="212"/>
    </row>
    <row r="124" spans="1:2" ht="15">
      <c r="A124" s="139" t="s">
        <v>262</v>
      </c>
      <c r="B124" s="140">
        <v>1701</v>
      </c>
    </row>
    <row r="125" spans="1:2" ht="15">
      <c r="A125" s="141" t="s">
        <v>247</v>
      </c>
      <c r="B125" s="142">
        <v>1702</v>
      </c>
    </row>
    <row r="126" spans="1:2" ht="15">
      <c r="A126" s="143" t="s">
        <v>263</v>
      </c>
      <c r="B126" s="144">
        <v>1703</v>
      </c>
    </row>
    <row r="127" spans="1:2" ht="15">
      <c r="A127" s="137"/>
      <c r="B127" s="138"/>
    </row>
    <row r="128" spans="1:2" ht="15">
      <c r="A128" s="211" t="s">
        <v>262</v>
      </c>
      <c r="B128" s="212"/>
    </row>
    <row r="129" spans="1:2" ht="15">
      <c r="A129" s="145" t="s">
        <v>262</v>
      </c>
      <c r="B129" s="146">
        <v>1701</v>
      </c>
    </row>
    <row r="130" spans="1:2" ht="15">
      <c r="A130" s="137"/>
      <c r="B130" s="138"/>
    </row>
    <row r="131" spans="1:2" ht="15">
      <c r="A131" s="211" t="s">
        <v>264</v>
      </c>
      <c r="B131" s="212"/>
    </row>
    <row r="132" spans="1:2" ht="15">
      <c r="A132" s="139" t="s">
        <v>247</v>
      </c>
      <c r="B132" s="140">
        <v>1702</v>
      </c>
    </row>
    <row r="133" spans="1:2" ht="15">
      <c r="A133" s="143" t="s">
        <v>263</v>
      </c>
      <c r="B133" s="144">
        <v>1703</v>
      </c>
    </row>
    <row r="134" spans="1:2" ht="15">
      <c r="A134" s="137"/>
      <c r="B134" s="138"/>
    </row>
    <row r="135" spans="1:2" ht="15">
      <c r="A135" s="211" t="s">
        <v>265</v>
      </c>
      <c r="B135" s="212"/>
    </row>
    <row r="136" spans="1:2" ht="15">
      <c r="A136" s="145" t="s">
        <v>247</v>
      </c>
      <c r="B136" s="146">
        <v>1702</v>
      </c>
    </row>
    <row r="137" ht="12.75">
      <c r="A137" s="6"/>
    </row>
    <row r="138" spans="1:2" ht="15">
      <c r="A138" s="211" t="s">
        <v>266</v>
      </c>
      <c r="B138" s="212"/>
    </row>
    <row r="139" spans="1:2" ht="15">
      <c r="A139" s="143" t="s">
        <v>263</v>
      </c>
      <c r="B139" s="144">
        <v>1703</v>
      </c>
    </row>
    <row r="140" ht="12.75">
      <c r="A140" s="6"/>
    </row>
    <row r="141" spans="1:2" ht="15">
      <c r="A141" s="211" t="s">
        <v>254</v>
      </c>
      <c r="B141" s="212"/>
    </row>
    <row r="142" spans="1:2" ht="15">
      <c r="A142" s="145" t="s">
        <v>252</v>
      </c>
      <c r="B142" s="146">
        <v>2128</v>
      </c>
    </row>
    <row r="143" ht="12.75">
      <c r="A143" s="6"/>
    </row>
    <row r="144" ht="12.75">
      <c r="A144" s="6"/>
    </row>
    <row r="145" spans="1:2" ht="15">
      <c r="A145" s="211" t="s">
        <v>267</v>
      </c>
      <c r="B145" s="212"/>
    </row>
    <row r="146" spans="1:2" ht="15">
      <c r="A146" s="145" t="s">
        <v>267</v>
      </c>
      <c r="B146" s="146" t="s">
        <v>268</v>
      </c>
    </row>
    <row r="147" ht="12.75">
      <c r="A147" s="6"/>
    </row>
    <row r="148" spans="1:2" ht="15">
      <c r="A148" s="211" t="s">
        <v>269</v>
      </c>
      <c r="B148" s="212"/>
    </row>
    <row r="149" spans="1:2" ht="15">
      <c r="A149" s="145" t="s">
        <v>269</v>
      </c>
      <c r="B149" s="146" t="s">
        <v>270</v>
      </c>
    </row>
    <row r="150" ht="12.75">
      <c r="A150" s="6"/>
    </row>
    <row r="151" ht="12.75">
      <c r="A151" s="6"/>
    </row>
    <row r="152" spans="1:2" ht="12.75">
      <c r="A152" s="216" t="s">
        <v>68</v>
      </c>
      <c r="B152" s="217"/>
    </row>
    <row r="153" spans="1:2" ht="12.75">
      <c r="A153" s="156"/>
      <c r="B153" s="157"/>
    </row>
    <row r="154" spans="1:2" ht="12.75">
      <c r="A154" s="150" t="s">
        <v>174</v>
      </c>
      <c r="B154" s="158" t="s">
        <v>175</v>
      </c>
    </row>
    <row r="155" spans="1:2" ht="12.75">
      <c r="A155" s="150" t="str">
        <f>"- Cuentas ajuste control pasivo"</f>
        <v>- Cuentas ajuste control pasivo</v>
      </c>
      <c r="B155" s="158" t="str">
        <f>"- (4505 a 4525)"</f>
        <v>- (4505 a 4525)</v>
      </c>
    </row>
    <row r="156" spans="1:2" ht="12.75">
      <c r="A156" s="152" t="str">
        <f>"- Documentos a cargo de otros bancos (canje)"</f>
        <v>- Documentos a cargo de otros bancos (canje)</v>
      </c>
      <c r="B156" s="159" t="str">
        <f>"- 1015"</f>
        <v>- 1015</v>
      </c>
    </row>
    <row r="157" ht="12.75">
      <c r="A157" s="6"/>
    </row>
    <row r="158" spans="1:2" ht="12.75">
      <c r="A158" s="207" t="s">
        <v>69</v>
      </c>
      <c r="B158" s="208"/>
    </row>
    <row r="159" spans="1:2" ht="12.75">
      <c r="A159" s="77"/>
      <c r="B159" s="78"/>
    </row>
    <row r="160" spans="1:2" ht="12.75">
      <c r="A160" s="79" t="s">
        <v>176</v>
      </c>
      <c r="B160" s="82">
        <v>3005</v>
      </c>
    </row>
    <row r="161" spans="1:2" ht="12.75">
      <c r="A161" s="79" t="str">
        <f>"+ Otros saldos acreedores a la vista"</f>
        <v>+ Otros saldos acreedores a la vista</v>
      </c>
      <c r="B161" s="89">
        <v>3010</v>
      </c>
    </row>
    <row r="162" spans="1:2" ht="12.75">
      <c r="A162" s="79" t="str">
        <f>"+ Cuentas de depósito a la vista"</f>
        <v>+ Cuentas de depósito a la vista</v>
      </c>
      <c r="B162" s="89">
        <v>3015</v>
      </c>
    </row>
    <row r="163" spans="1:2" ht="12.75">
      <c r="A163" s="79" t="str">
        <f>"- Documentos a cargo de otros bancos (canje)"</f>
        <v>- Documentos a cargo de otros bancos (canje)</v>
      </c>
      <c r="B163" s="90">
        <v>1015</v>
      </c>
    </row>
    <row r="164" spans="1:2" ht="12.75">
      <c r="A164" s="79" t="str">
        <f>"+ Depósitos y captaciones a plazo 30 a 89 días"</f>
        <v>+ Depósitos y captaciones a plazo 30 a 89 días</v>
      </c>
      <c r="B164" s="89">
        <v>3020</v>
      </c>
    </row>
    <row r="165" spans="1:2" ht="12.75">
      <c r="A165" s="79" t="str">
        <f>"+ Depósitos y captaciones a plazo 90 días a 1 año"</f>
        <v>+ Depósitos y captaciones a plazo 90 días a 1 año</v>
      </c>
      <c r="B165" s="89">
        <v>3025</v>
      </c>
    </row>
    <row r="166" spans="1:2" ht="12.75">
      <c r="A166" s="79" t="str">
        <f>"+ Otros saldos acreedores a plazo"</f>
        <v>+ Otros saldos acreedores a plazo</v>
      </c>
      <c r="B166" s="89">
        <v>3030</v>
      </c>
    </row>
    <row r="167" spans="1:2" ht="12.75">
      <c r="A167" s="79" t="str">
        <f>"+ Depósitos de ahorro a plazo"</f>
        <v>+ Depósitos de ahorro a plazo</v>
      </c>
      <c r="B167" s="89">
        <v>3035</v>
      </c>
    </row>
    <row r="168" spans="1:2" ht="12.75">
      <c r="A168" s="75" t="str">
        <f>"+ Depósitos y captaciones (a más de 1 año)"</f>
        <v>+ Depósitos y captaciones (a más de 1 año)</v>
      </c>
      <c r="B168" s="91">
        <v>3065</v>
      </c>
    </row>
    <row r="170" spans="1:2" ht="12.75">
      <c r="A170" s="207" t="s">
        <v>229</v>
      </c>
      <c r="B170" s="208"/>
    </row>
    <row r="171" spans="1:2" ht="12.75">
      <c r="A171" s="92"/>
      <c r="B171" s="93"/>
    </row>
    <row r="172" spans="1:2" ht="12.75">
      <c r="A172" s="82" t="s">
        <v>176</v>
      </c>
      <c r="B172" s="82">
        <v>3005</v>
      </c>
    </row>
    <row r="173" spans="1:2" ht="12.75">
      <c r="A173" s="82" t="str">
        <f>"+ Otros saldos acreedores a la vista"</f>
        <v>+ Otros saldos acreedores a la vista</v>
      </c>
      <c r="B173" s="89">
        <v>3010</v>
      </c>
    </row>
    <row r="174" spans="1:2" ht="12.75">
      <c r="A174" s="82" t="str">
        <f>"+ Cuentas de depósito a la vista"</f>
        <v>+ Cuentas de depósito a la vista</v>
      </c>
      <c r="B174" s="89">
        <v>3015</v>
      </c>
    </row>
    <row r="175" spans="1:2" ht="12.75">
      <c r="A175" s="86" t="str">
        <f>"- Documentos a cargo de otros bancos (canje)"</f>
        <v>- Documentos a cargo de otros bancos (canje)</v>
      </c>
      <c r="B175" s="94">
        <v>1015</v>
      </c>
    </row>
    <row r="177" spans="1:2" ht="12.75">
      <c r="A177" s="207" t="s">
        <v>177</v>
      </c>
      <c r="B177" s="208"/>
    </row>
    <row r="178" spans="1:2" ht="12.75">
      <c r="A178" s="95"/>
      <c r="B178" s="78"/>
    </row>
    <row r="179" spans="1:2" ht="12.75">
      <c r="A179" s="79" t="str">
        <f>"   Depósitos y captaciones a plazo 30 a 89 días"</f>
        <v>   Depósitos y captaciones a plazo 30 a 89 días</v>
      </c>
      <c r="B179" s="82">
        <v>3020</v>
      </c>
    </row>
    <row r="180" spans="1:2" ht="12.75">
      <c r="A180" s="79" t="str">
        <f>"+ Depósitos y captaciones a plazo 90 días a 1 año"</f>
        <v>+ Depósitos y captaciones a plazo 90 días a 1 año</v>
      </c>
      <c r="B180" s="89">
        <v>3025</v>
      </c>
    </row>
    <row r="181" spans="1:2" ht="12.75">
      <c r="A181" s="79" t="str">
        <f>"+ Otros saldos acreedores a plazo"</f>
        <v>+ Otros saldos acreedores a plazo</v>
      </c>
      <c r="B181" s="89">
        <v>3030</v>
      </c>
    </row>
    <row r="182" spans="1:2" ht="12.75">
      <c r="A182" s="79" t="str">
        <f>"+ Depósitos de ahorro a plazo"</f>
        <v>+ Depósitos de ahorro a plazo</v>
      </c>
      <c r="B182" s="89">
        <v>3035</v>
      </c>
    </row>
    <row r="183" spans="1:2" ht="12.75">
      <c r="A183" s="75" t="str">
        <f>"+ Depósitos y captaciones (a más de 1 año)"</f>
        <v>+ Depósitos y captaciones (a más de 1 año)</v>
      </c>
      <c r="B183" s="91">
        <v>3065</v>
      </c>
    </row>
    <row r="185" spans="1:2" ht="12.75">
      <c r="A185" s="207" t="s">
        <v>110</v>
      </c>
      <c r="B185" s="208"/>
    </row>
    <row r="186" spans="1:2" ht="12.75">
      <c r="A186" s="77"/>
      <c r="B186" s="78"/>
    </row>
    <row r="187" spans="1:2" ht="12.75">
      <c r="A187" s="79" t="s">
        <v>178</v>
      </c>
      <c r="B187" s="84" t="s">
        <v>179</v>
      </c>
    </row>
    <row r="188" spans="1:2" ht="12.75">
      <c r="A188" s="75" t="str">
        <f>"+ Cartas de crédito simples o documentarias"</f>
        <v>+ Cartas de crédito simples o documentarias</v>
      </c>
      <c r="B188" s="91">
        <v>3615</v>
      </c>
    </row>
    <row r="190" spans="1:2" ht="12.75">
      <c r="A190" s="207" t="s">
        <v>111</v>
      </c>
      <c r="B190" s="208"/>
    </row>
    <row r="191" spans="1:2" ht="12.75">
      <c r="A191" s="78"/>
      <c r="B191" s="78"/>
    </row>
    <row r="192" spans="1:2" ht="12.75">
      <c r="A192" s="82" t="str">
        <f>"Obligaciones con letras  de crédito"</f>
        <v>Obligaciones con letras  de crédito</v>
      </c>
      <c r="B192" s="84" t="s">
        <v>180</v>
      </c>
    </row>
    <row r="193" spans="1:2" ht="12.75">
      <c r="A193" s="82" t="str">
        <f>" + Obligaciones por bonos (ordinarios)"</f>
        <v> + Obligaciones por bonos (ordinarios)</v>
      </c>
      <c r="B193" s="89">
        <v>3075</v>
      </c>
    </row>
    <row r="194" spans="1:2" ht="12.75">
      <c r="A194" s="86" t="s">
        <v>181</v>
      </c>
      <c r="B194" s="91">
        <v>4190</v>
      </c>
    </row>
    <row r="196" spans="1:2" ht="12.75">
      <c r="A196" s="207" t="s">
        <v>182</v>
      </c>
      <c r="B196" s="208"/>
    </row>
    <row r="197" spans="1:2" ht="12.75">
      <c r="A197" s="74"/>
      <c r="B197" s="74"/>
    </row>
    <row r="198" spans="1:2" ht="12.75">
      <c r="A198" s="86" t="str">
        <f>"Obligaciones con letras  de crédito"</f>
        <v>Obligaciones con letras  de crédito</v>
      </c>
      <c r="B198" s="76" t="s">
        <v>180</v>
      </c>
    </row>
    <row r="200" spans="1:2" ht="12.75">
      <c r="A200" s="207" t="s">
        <v>183</v>
      </c>
      <c r="B200" s="208"/>
    </row>
    <row r="201" spans="1:2" ht="12.75">
      <c r="A201" s="78"/>
      <c r="B201" s="78"/>
    </row>
    <row r="202" spans="1:2" ht="12.75">
      <c r="A202" s="86" t="str">
        <f>"Obligaciones por bonos (ordinarios)"</f>
        <v>Obligaciones por bonos (ordinarios)</v>
      </c>
      <c r="B202" s="96">
        <v>3075</v>
      </c>
    </row>
    <row r="204" spans="1:2" ht="12.75">
      <c r="A204" s="207" t="s">
        <v>184</v>
      </c>
      <c r="B204" s="208"/>
    </row>
    <row r="205" spans="1:2" ht="12.75">
      <c r="A205" s="77"/>
      <c r="B205" s="97"/>
    </row>
    <row r="206" spans="1:2" ht="12.75">
      <c r="A206" s="75" t="s">
        <v>184</v>
      </c>
      <c r="B206" s="86">
        <v>4190</v>
      </c>
    </row>
    <row r="209" spans="1:2" ht="15">
      <c r="A209" s="211" t="s">
        <v>278</v>
      </c>
      <c r="B209" s="212"/>
    </row>
    <row r="210" spans="1:2" ht="15">
      <c r="A210" s="145" t="s">
        <v>252</v>
      </c>
      <c r="B210" s="146">
        <v>4128</v>
      </c>
    </row>
    <row r="211" ht="12.75">
      <c r="A211" s="6"/>
    </row>
    <row r="212" ht="12.75">
      <c r="A212" s="6"/>
    </row>
    <row r="213" spans="1:2" ht="15">
      <c r="A213" s="211" t="s">
        <v>267</v>
      </c>
      <c r="B213" s="212"/>
    </row>
    <row r="214" spans="1:2" ht="15">
      <c r="A214" s="145" t="s">
        <v>267</v>
      </c>
      <c r="B214" s="146" t="s">
        <v>276</v>
      </c>
    </row>
    <row r="215" ht="12.75">
      <c r="A215" s="6"/>
    </row>
    <row r="216" spans="1:2" ht="15">
      <c r="A216" s="211" t="s">
        <v>269</v>
      </c>
      <c r="B216" s="212"/>
    </row>
    <row r="217" spans="1:2" ht="15">
      <c r="A217" s="145" t="s">
        <v>269</v>
      </c>
      <c r="B217" s="146" t="s">
        <v>277</v>
      </c>
    </row>
    <row r="219" spans="1:2" ht="12.75">
      <c r="A219" s="207" t="s">
        <v>70</v>
      </c>
      <c r="B219" s="208"/>
    </row>
    <row r="220" spans="1:2" ht="12.75">
      <c r="A220" s="78"/>
      <c r="B220" s="97"/>
    </row>
    <row r="221" spans="1:2" ht="12.75">
      <c r="A221" s="86" t="s">
        <v>70</v>
      </c>
      <c r="B221" s="76" t="s">
        <v>185</v>
      </c>
    </row>
    <row r="223" spans="1:2" ht="12.75">
      <c r="A223" s="207" t="s">
        <v>73</v>
      </c>
      <c r="B223" s="208"/>
    </row>
    <row r="224" spans="1:2" ht="12.75">
      <c r="A224" s="78"/>
      <c r="B224" s="97"/>
    </row>
    <row r="225" spans="1:2" ht="12.75">
      <c r="A225" s="75" t="s">
        <v>73</v>
      </c>
      <c r="B225" s="76" t="s">
        <v>186</v>
      </c>
    </row>
    <row r="227" spans="1:2" ht="12.75">
      <c r="A227" s="207" t="s">
        <v>72</v>
      </c>
      <c r="B227" s="208"/>
    </row>
    <row r="228" spans="1:2" ht="12.75">
      <c r="A228" s="78"/>
      <c r="B228" s="97"/>
    </row>
    <row r="229" spans="1:2" ht="12.75">
      <c r="A229" s="82" t="s">
        <v>187</v>
      </c>
      <c r="B229" s="84">
        <v>1350</v>
      </c>
    </row>
    <row r="230" spans="1:2" ht="12.75">
      <c r="A230" s="86" t="str">
        <f>"+ contratos de leasing vencidos"</f>
        <v>+ contratos de leasing vencidos</v>
      </c>
      <c r="B230" s="91">
        <v>1421</v>
      </c>
    </row>
    <row r="231" spans="1:2" ht="12.75">
      <c r="A231" s="6"/>
      <c r="B231" s="98"/>
    </row>
    <row r="232" spans="1:2" ht="12.75">
      <c r="A232" s="207" t="s">
        <v>90</v>
      </c>
      <c r="B232" s="208"/>
    </row>
    <row r="233" spans="1:2" ht="12.75">
      <c r="A233" s="78"/>
      <c r="B233" s="97"/>
    </row>
    <row r="234" spans="1:2" ht="12.75">
      <c r="A234" s="82" t="s">
        <v>188</v>
      </c>
      <c r="B234" s="81">
        <v>1135</v>
      </c>
    </row>
    <row r="235" spans="1:2" ht="12.75">
      <c r="A235" s="86" t="str">
        <f>"+ Operaciones de factoraje vencidas"</f>
        <v>+ Operaciones de factoraje vencidas</v>
      </c>
      <c r="B235" s="85">
        <v>1418</v>
      </c>
    </row>
    <row r="237" spans="1:2" ht="12.75">
      <c r="A237" s="207" t="s">
        <v>71</v>
      </c>
      <c r="B237" s="208"/>
    </row>
    <row r="238" spans="1:2" ht="12.75">
      <c r="A238" s="78"/>
      <c r="B238" s="78"/>
    </row>
    <row r="239" spans="1:2" ht="12.75">
      <c r="A239" s="82" t="str">
        <f>"   Deudores por boletas de garantía y consig. judic. (hasta 1 año)"</f>
        <v>   Deudores por boletas de garantía y consig. judic. (hasta 1 año)</v>
      </c>
      <c r="B239" s="80">
        <v>1605</v>
      </c>
    </row>
    <row r="240" spans="1:2" ht="12.75">
      <c r="A240" s="82" t="str">
        <f>"+ Deudores por avales y fianzas (hasta 1 año)"</f>
        <v>+ Deudores por avales y fianzas (hasta 1 año)</v>
      </c>
      <c r="B240" s="81">
        <v>1610</v>
      </c>
    </row>
    <row r="241" spans="1:2" ht="12.75">
      <c r="A241" s="82" t="str">
        <f>"+ Deudores por carta crédito simples y documentarias"</f>
        <v>+ Deudores por carta crédito simples y documentarias</v>
      </c>
      <c r="B241" s="81">
        <v>1615</v>
      </c>
    </row>
    <row r="242" spans="1:2" ht="12.75">
      <c r="A242" s="82" t="str">
        <f>"+ Deudores por carta crédito del exterior confirmadas"</f>
        <v>+ Deudores por carta crédito del exterior confirmadas</v>
      </c>
      <c r="B242" s="81">
        <v>1620</v>
      </c>
    </row>
    <row r="243" spans="1:2" ht="12.75">
      <c r="A243" s="82" t="str">
        <f>"+ Deudores por boletas de garantía y consig. judic. (a más de 1 año)"</f>
        <v>+ Deudores por boletas de garantía y consig. judic. (a más de 1 año)</v>
      </c>
      <c r="B243" s="81">
        <v>1655</v>
      </c>
    </row>
    <row r="244" spans="1:2" ht="12.75">
      <c r="A244" s="86" t="str">
        <f>"+ Deudores por avales y fianzas (a más de 1 año)"</f>
        <v>+ Deudores por avales y fianzas (a más de 1 año)</v>
      </c>
      <c r="B244" s="85">
        <v>1660</v>
      </c>
    </row>
    <row r="247" spans="1:2" ht="12.75">
      <c r="A247" s="207" t="s">
        <v>74</v>
      </c>
      <c r="B247" s="208"/>
    </row>
    <row r="248" spans="1:2" ht="12.75">
      <c r="A248" s="77"/>
      <c r="B248" s="78"/>
    </row>
    <row r="249" spans="1:2" ht="12.75">
      <c r="A249" s="75" t="s">
        <v>74</v>
      </c>
      <c r="B249" s="76" t="s">
        <v>234</v>
      </c>
    </row>
    <row r="250" spans="1:2" ht="12.75">
      <c r="A250" s="6"/>
      <c r="B250" s="99"/>
    </row>
    <row r="252" spans="1:2" ht="12.75">
      <c r="A252" s="207" t="s">
        <v>189</v>
      </c>
      <c r="B252" s="208"/>
    </row>
    <row r="253" spans="1:2" ht="12.75">
      <c r="A253" s="77"/>
      <c r="B253" s="78"/>
    </row>
    <row r="254" spans="1:2" ht="12.75">
      <c r="A254" s="79" t="s">
        <v>190</v>
      </c>
      <c r="B254" s="84" t="s">
        <v>191</v>
      </c>
    </row>
    <row r="255" spans="1:2" ht="12.75">
      <c r="A255" s="79" t="str">
        <f>"+ Reajustes percibidos y devengados"</f>
        <v>+ Reajustes percibidos y devengados</v>
      </c>
      <c r="B255" s="84" t="s">
        <v>192</v>
      </c>
    </row>
    <row r="256" spans="1:2" ht="12.75">
      <c r="A256" s="79" t="str">
        <f>"- Intereses pagados y devengados"</f>
        <v>- Intereses pagados y devengados</v>
      </c>
      <c r="B256" s="84" t="s">
        <v>193</v>
      </c>
    </row>
    <row r="257" spans="1:2" ht="12.75">
      <c r="A257" s="79" t="str">
        <f>"- Reajustes pagados y devengados"</f>
        <v>- Reajustes pagados y devengados</v>
      </c>
      <c r="B257" s="84" t="str">
        <f>"- 5305 a 5400"</f>
        <v>- 5305 a 5400</v>
      </c>
    </row>
    <row r="258" spans="1:2" ht="12.75">
      <c r="A258" s="79" t="str">
        <f>"+ Utilidades de cambio"</f>
        <v>+ Utilidades de cambio</v>
      </c>
      <c r="B258" s="84" t="s">
        <v>194</v>
      </c>
    </row>
    <row r="259" spans="1:2" ht="12.75">
      <c r="A259" s="75" t="str">
        <f>"- Pérdidas de cambio"</f>
        <v>- Pérdidas de cambio</v>
      </c>
      <c r="B259" s="76" t="str">
        <f>"- 5705 a 5710"</f>
        <v>- 5705 a 5710</v>
      </c>
    </row>
    <row r="261" spans="1:2" ht="12.75">
      <c r="A261" s="207" t="s">
        <v>77</v>
      </c>
      <c r="B261" s="208"/>
    </row>
    <row r="262" spans="1:2" ht="12.75">
      <c r="A262" s="78"/>
      <c r="B262" s="78"/>
    </row>
    <row r="263" spans="1:2" ht="12.75">
      <c r="A263" s="82" t="str">
        <f>"  Comisiones percibidas y devengadas"</f>
        <v>  Comisiones percibidas y devengadas</v>
      </c>
      <c r="B263" s="84" t="s">
        <v>195</v>
      </c>
    </row>
    <row r="264" spans="1:2" ht="12.75">
      <c r="A264" s="86" t="str">
        <f>"- Comisiones pagadas y devengadas"</f>
        <v>- Comisiones pagadas y devengadas</v>
      </c>
      <c r="B264" s="76" t="str">
        <f>"- 5505 a 5530"</f>
        <v>- 5505 a 5530</v>
      </c>
    </row>
    <row r="266" spans="1:2" ht="12.75">
      <c r="A266" s="207" t="s">
        <v>196</v>
      </c>
      <c r="B266" s="208"/>
    </row>
    <row r="267" spans="1:2" ht="12.75">
      <c r="A267" s="78"/>
      <c r="B267" s="78"/>
    </row>
    <row r="268" spans="1:2" ht="12.75">
      <c r="A268" s="82"/>
      <c r="B268" s="82"/>
    </row>
    <row r="269" spans="1:2" ht="12.75">
      <c r="A269" s="86" t="s">
        <v>197</v>
      </c>
      <c r="B269" s="100" t="s">
        <v>198</v>
      </c>
    </row>
    <row r="271" spans="1:2" ht="12.75">
      <c r="A271" s="216" t="s">
        <v>260</v>
      </c>
      <c r="B271" s="217"/>
    </row>
    <row r="272" spans="1:2" ht="12.75">
      <c r="A272" s="147"/>
      <c r="B272" s="147"/>
    </row>
    <row r="273" spans="1:2" ht="12.75">
      <c r="A273" s="148" t="s">
        <v>279</v>
      </c>
      <c r="B273" s="148">
        <v>7606</v>
      </c>
    </row>
    <row r="274" spans="1:2" ht="12.75">
      <c r="A274" s="148" t="s">
        <v>280</v>
      </c>
      <c r="B274" s="148">
        <v>7607</v>
      </c>
    </row>
    <row r="275" spans="1:2" ht="12.75">
      <c r="A275" s="148" t="s">
        <v>281</v>
      </c>
      <c r="B275" s="148">
        <v>7608</v>
      </c>
    </row>
    <row r="276" spans="1:2" ht="12.75">
      <c r="A276" s="148" t="s">
        <v>282</v>
      </c>
      <c r="B276" s="148">
        <v>7609</v>
      </c>
    </row>
    <row r="277" spans="1:2" ht="12.75">
      <c r="A277" s="148" t="s">
        <v>283</v>
      </c>
      <c r="B277" s="148">
        <v>7625</v>
      </c>
    </row>
    <row r="278" spans="1:2" ht="12.75">
      <c r="A278" s="148" t="s">
        <v>284</v>
      </c>
      <c r="B278" s="148">
        <v>5606</v>
      </c>
    </row>
    <row r="279" spans="1:2" ht="12.75">
      <c r="A279" s="148" t="s">
        <v>285</v>
      </c>
      <c r="B279" s="148">
        <v>5607</v>
      </c>
    </row>
    <row r="280" spans="1:2" ht="12.75">
      <c r="A280" s="148" t="s">
        <v>286</v>
      </c>
      <c r="B280" s="148">
        <v>5608</v>
      </c>
    </row>
    <row r="281" spans="1:2" ht="12.75">
      <c r="A281" s="149" t="s">
        <v>287</v>
      </c>
      <c r="B281" s="149">
        <v>5609</v>
      </c>
    </row>
    <row r="283" spans="1:2" ht="12.75">
      <c r="A283" s="216" t="s">
        <v>199</v>
      </c>
      <c r="B283" s="217"/>
    </row>
    <row r="284" spans="1:2" ht="12.75">
      <c r="A284" s="160"/>
      <c r="B284" s="147"/>
    </row>
    <row r="285" spans="1:2" ht="12.75">
      <c r="A285" s="150" t="str">
        <f>"+ Otros Ingresos de operación"</f>
        <v>+ Otros Ingresos de operación</v>
      </c>
      <c r="B285" s="151">
        <v>7910</v>
      </c>
    </row>
    <row r="286" spans="1:2" ht="12.75">
      <c r="A286" s="152" t="str">
        <f>"- Otros gastos de operación"</f>
        <v>- Otros gastos de operación</v>
      </c>
      <c r="B286" s="159" t="str">
        <f>"- 5900"</f>
        <v>- 5900</v>
      </c>
    </row>
    <row r="287" spans="1:2" ht="12.75">
      <c r="A287" s="6"/>
      <c r="B287" s="99"/>
    </row>
    <row r="288" spans="1:2" ht="12.75">
      <c r="A288" s="216" t="s">
        <v>288</v>
      </c>
      <c r="B288" s="217"/>
    </row>
    <row r="289" spans="1:2" ht="12.75">
      <c r="A289" s="150" t="str">
        <f>"+ Corrección Monetaria (ingreso)"</f>
        <v>+ Corrección Monetaria (ingreso)</v>
      </c>
      <c r="B289" s="151">
        <v>8405</v>
      </c>
    </row>
    <row r="290" spans="1:2" ht="12.75">
      <c r="A290" s="152" t="str">
        <f>"- Corrección Monetaria (gasto)"</f>
        <v>- Corrección Monetaria (gasto)</v>
      </c>
      <c r="B290" s="153">
        <v>6405</v>
      </c>
    </row>
    <row r="292" spans="1:2" ht="12.75">
      <c r="A292" s="195" t="s">
        <v>79</v>
      </c>
      <c r="B292" s="215"/>
    </row>
    <row r="293" spans="1:2" ht="12.75">
      <c r="A293" s="160"/>
      <c r="B293" s="161"/>
    </row>
    <row r="294" spans="1:2" ht="12.75">
      <c r="A294" s="150" t="s">
        <v>200</v>
      </c>
      <c r="B294" s="162"/>
    </row>
    <row r="295" spans="1:2" ht="12.75">
      <c r="A295" s="150" t="str">
        <f>"+ Comisiones netas"</f>
        <v>+ Comisiones netas</v>
      </c>
      <c r="B295" s="162"/>
    </row>
    <row r="296" spans="1:2" ht="12.75">
      <c r="A296" s="150" t="str">
        <f>"+ Recuperación de colocaciones  e inversiones castigadas"</f>
        <v>+ Recuperación de colocaciones  e inversiones castigadas</v>
      </c>
      <c r="B296" s="162"/>
    </row>
    <row r="297" spans="1:2" ht="12.75">
      <c r="A297" s="150" t="str">
        <f>"+ Diferencia de precios neta"</f>
        <v>+ Diferencia de precios neta</v>
      </c>
      <c r="B297" s="162"/>
    </row>
    <row r="298" spans="1:2" ht="12.75">
      <c r="A298" s="150" t="str">
        <f>"+ Otros ingresos de operación netos"</f>
        <v>+ Otros ingresos de operación netos</v>
      </c>
      <c r="B298" s="162"/>
    </row>
    <row r="299" spans="1:2" ht="12.75">
      <c r="A299" s="152" t="str">
        <f>"+ Corrección monetaria"</f>
        <v>+ Corrección monetaria</v>
      </c>
      <c r="B299" s="163"/>
    </row>
    <row r="300" spans="1:2" ht="12.75">
      <c r="A300" s="6"/>
      <c r="B300" s="6"/>
    </row>
    <row r="301" spans="1:2" ht="12.75">
      <c r="A301" s="207" t="s">
        <v>80</v>
      </c>
      <c r="B301" s="208"/>
    </row>
    <row r="302" spans="1:2" ht="12.75">
      <c r="A302" s="78"/>
      <c r="B302" s="78"/>
    </row>
    <row r="303" spans="1:2" ht="12.75">
      <c r="A303" s="86" t="s">
        <v>80</v>
      </c>
      <c r="B303" s="76" t="s">
        <v>201</v>
      </c>
    </row>
    <row r="304" spans="1:2" ht="12.75">
      <c r="A304" s="6"/>
      <c r="B304" s="6"/>
    </row>
    <row r="305" spans="1:2" ht="12.75">
      <c r="A305" s="207" t="s">
        <v>48</v>
      </c>
      <c r="B305" s="208"/>
    </row>
    <row r="306" spans="1:2" ht="12.75">
      <c r="A306" s="78"/>
      <c r="B306" s="78"/>
    </row>
    <row r="307" spans="1:2" ht="12.75">
      <c r="A307" s="82" t="s">
        <v>202</v>
      </c>
      <c r="B307" s="84" t="s">
        <v>203</v>
      </c>
    </row>
    <row r="308" spans="1:2" ht="12.75">
      <c r="A308" s="86" t="s">
        <v>204</v>
      </c>
      <c r="B308" s="100" t="s">
        <v>205</v>
      </c>
    </row>
    <row r="310" spans="1:2" ht="12.75">
      <c r="A310" s="209" t="s">
        <v>81</v>
      </c>
      <c r="B310" s="210"/>
    </row>
    <row r="311" spans="1:2" ht="12.75">
      <c r="A311" s="77"/>
      <c r="B311" s="109"/>
    </row>
    <row r="312" spans="1:2" ht="12.75">
      <c r="A312" s="79" t="s">
        <v>206</v>
      </c>
      <c r="B312" s="110"/>
    </row>
    <row r="313" spans="1:2" ht="12.75">
      <c r="A313" s="79" t="str">
        <f>"- Gastos de apoyo operacional"</f>
        <v>- Gastos de apoyo operacional</v>
      </c>
      <c r="B313" s="110"/>
    </row>
    <row r="314" spans="1:2" ht="12.75">
      <c r="A314" s="75" t="str">
        <f>"- Gasto en provisiones"</f>
        <v>- Gasto en provisiones</v>
      </c>
      <c r="B314" s="111"/>
    </row>
    <row r="315" spans="1:2" ht="12.75">
      <c r="A315" s="31"/>
      <c r="B315" s="31"/>
    </row>
    <row r="316" spans="1:2" ht="12.75">
      <c r="A316" s="207" t="s">
        <v>230</v>
      </c>
      <c r="B316" s="208"/>
    </row>
    <row r="317" spans="1:2" ht="12.75">
      <c r="A317" s="78"/>
      <c r="B317" s="78"/>
    </row>
    <row r="318" spans="1:2" ht="12.75">
      <c r="A318" s="101" t="s">
        <v>208</v>
      </c>
      <c r="B318" s="102">
        <v>8350</v>
      </c>
    </row>
    <row r="319" spans="1:2" ht="12.75">
      <c r="A319" s="101" t="str">
        <f>"- Pérdidas por inversión en sociedades"</f>
        <v>- Pérdidas por inversión en sociedades</v>
      </c>
      <c r="B319" s="103">
        <v>6350</v>
      </c>
    </row>
    <row r="320" spans="1:2" ht="12.75">
      <c r="A320" s="79" t="str">
        <f>"+ Utilidades de sucursales en el exterior"</f>
        <v>+ Utilidades de sucursales en el exterior</v>
      </c>
      <c r="B320" s="81">
        <v>8320</v>
      </c>
    </row>
    <row r="321" spans="1:2" ht="12.75">
      <c r="A321" s="75" t="str">
        <f>"- Perdidas de sucursales en el exterior"</f>
        <v>- Perdidas de sucursales en el exterior</v>
      </c>
      <c r="B321" s="88">
        <v>6320</v>
      </c>
    </row>
    <row r="322" spans="1:2" ht="12.75">
      <c r="A322" s="31"/>
      <c r="B322" s="31"/>
    </row>
    <row r="323" spans="1:2" ht="12.75">
      <c r="A323" s="209" t="s">
        <v>231</v>
      </c>
      <c r="B323" s="210"/>
    </row>
    <row r="324" spans="1:2" ht="12.75">
      <c r="A324" s="213" t="s">
        <v>209</v>
      </c>
      <c r="B324" s="214"/>
    </row>
    <row r="325" spans="1:2" ht="12.75">
      <c r="A325" s="73"/>
      <c r="B325" s="104"/>
    </row>
    <row r="326" spans="1:2" ht="12.75">
      <c r="A326" s="112" t="s">
        <v>210</v>
      </c>
      <c r="B326" s="113"/>
    </row>
    <row r="327" spans="1:2" ht="12.75">
      <c r="A327" s="114" t="str">
        <f>"+ Utilidades de inversiones en sociedades y de sucurs. en el exterior"</f>
        <v>+ Utilidades de inversiones en sociedades y de sucurs. en el exterior</v>
      </c>
      <c r="B327" s="115"/>
    </row>
    <row r="328" spans="1:2" ht="12.75">
      <c r="A328" s="31"/>
      <c r="B328" s="31"/>
    </row>
    <row r="329" spans="1:2" ht="12.75">
      <c r="A329" s="207" t="s">
        <v>101</v>
      </c>
      <c r="B329" s="208"/>
    </row>
    <row r="330" spans="1:2" ht="12.75">
      <c r="A330" s="77"/>
      <c r="B330" s="78"/>
    </row>
    <row r="331" spans="1:2" ht="12.75">
      <c r="A331" s="79" t="s">
        <v>211</v>
      </c>
      <c r="B331" s="84" t="s">
        <v>212</v>
      </c>
    </row>
    <row r="332" spans="1:2" ht="12.75">
      <c r="A332" s="79" t="s">
        <v>213</v>
      </c>
      <c r="B332" s="81">
        <v>8115</v>
      </c>
    </row>
    <row r="333" spans="1:2" ht="12.75">
      <c r="A333" s="75" t="str">
        <f>"- Gastos no operacionales"</f>
        <v>- Gastos no operacionales</v>
      </c>
      <c r="B333" s="76" t="str">
        <f>"- 6305 a 6315"</f>
        <v>- 6305 a 6315</v>
      </c>
    </row>
    <row r="334" spans="1:2" ht="12.75">
      <c r="A334" s="31"/>
      <c r="B334" s="31"/>
    </row>
    <row r="335" spans="1:2" ht="12.75">
      <c r="A335" s="209" t="s">
        <v>96</v>
      </c>
      <c r="B335" s="210"/>
    </row>
    <row r="336" spans="1:2" ht="12.75">
      <c r="A336" s="77"/>
      <c r="B336" s="109"/>
    </row>
    <row r="337" spans="1:2" ht="12.75">
      <c r="A337" s="112" t="s">
        <v>232</v>
      </c>
      <c r="B337" s="110"/>
    </row>
    <row r="338" spans="1:2" ht="12.75">
      <c r="A338" s="112" t="s">
        <v>214</v>
      </c>
      <c r="B338" s="110"/>
    </row>
    <row r="339" spans="1:2" ht="12.75">
      <c r="A339" s="75" t="str">
        <f>"+ Otros ingresos netos"</f>
        <v>+ Otros ingresos netos</v>
      </c>
      <c r="B339" s="111"/>
    </row>
    <row r="340" spans="1:2" ht="12.75">
      <c r="A340" s="6"/>
      <c r="B340" s="6"/>
    </row>
    <row r="341" spans="1:2" ht="12.75">
      <c r="A341" s="207" t="s">
        <v>91</v>
      </c>
      <c r="B341" s="208"/>
    </row>
    <row r="342" spans="1:2" ht="12.75">
      <c r="A342" s="78"/>
      <c r="B342" s="78"/>
    </row>
    <row r="343" spans="1:2" ht="12.75">
      <c r="A343" s="105" t="s">
        <v>215</v>
      </c>
      <c r="B343" s="86">
        <v>6605</v>
      </c>
    </row>
    <row r="344" ht="12.75">
      <c r="A344" s="6"/>
    </row>
    <row r="345" spans="1:2" ht="12.75">
      <c r="A345" s="209" t="s">
        <v>82</v>
      </c>
      <c r="B345" s="210"/>
    </row>
    <row r="346" spans="1:2" ht="12.75">
      <c r="A346" s="77"/>
      <c r="B346" s="109"/>
    </row>
    <row r="347" spans="1:2" ht="12.75">
      <c r="A347" s="112" t="s">
        <v>216</v>
      </c>
      <c r="B347" s="110"/>
    </row>
    <row r="348" spans="1:2" ht="12.75">
      <c r="A348" s="75" t="str">
        <f>"- Impuestos"</f>
        <v>- Impuestos</v>
      </c>
      <c r="B348" s="111"/>
    </row>
    <row r="349" ht="12.75">
      <c r="A349" s="6"/>
    </row>
    <row r="350" spans="1:2" ht="12.75">
      <c r="A350" s="207" t="s">
        <v>123</v>
      </c>
      <c r="B350" s="208"/>
    </row>
    <row r="351" spans="1:2" ht="12.75">
      <c r="A351" s="73"/>
      <c r="B351" s="74"/>
    </row>
    <row r="352" spans="1:2" ht="12.75">
      <c r="A352" s="106" t="s">
        <v>123</v>
      </c>
      <c r="B352" s="86">
        <v>9602</v>
      </c>
    </row>
  </sheetData>
  <mergeCells count="52">
    <mergeCell ref="A112:B112"/>
    <mergeCell ref="A177:B177"/>
    <mergeCell ref="A123:B123"/>
    <mergeCell ref="A152:B152"/>
    <mergeCell ref="A158:B158"/>
    <mergeCell ref="A170:B170"/>
    <mergeCell ref="A196:B196"/>
    <mergeCell ref="A185:B185"/>
    <mergeCell ref="A190:B190"/>
    <mergeCell ref="A12:B12"/>
    <mergeCell ref="A16:B16"/>
    <mergeCell ref="A47:B47"/>
    <mergeCell ref="A70:B70"/>
    <mergeCell ref="A79:B79"/>
    <mergeCell ref="A84:B84"/>
    <mergeCell ref="A102:B102"/>
    <mergeCell ref="A200:B200"/>
    <mergeCell ref="A204:B204"/>
    <mergeCell ref="A219:B219"/>
    <mergeCell ref="A223:B223"/>
    <mergeCell ref="A316:B316"/>
    <mergeCell ref="A209:B209"/>
    <mergeCell ref="A213:B213"/>
    <mergeCell ref="A216:B216"/>
    <mergeCell ref="A271:B271"/>
    <mergeCell ref="A288:B288"/>
    <mergeCell ref="A261:B261"/>
    <mergeCell ref="A266:B266"/>
    <mergeCell ref="A283:B283"/>
    <mergeCell ref="A252:B252"/>
    <mergeCell ref="A227:B227"/>
    <mergeCell ref="A232:B232"/>
    <mergeCell ref="A237:B237"/>
    <mergeCell ref="A247:B247"/>
    <mergeCell ref="A292:B292"/>
    <mergeCell ref="A301:B301"/>
    <mergeCell ref="A305:B305"/>
    <mergeCell ref="A310:B310"/>
    <mergeCell ref="A323:B323"/>
    <mergeCell ref="A324:B324"/>
    <mergeCell ref="A329:B329"/>
    <mergeCell ref="A335:B335"/>
    <mergeCell ref="A341:B341"/>
    <mergeCell ref="A345:B345"/>
    <mergeCell ref="A350:B350"/>
    <mergeCell ref="A128:B128"/>
    <mergeCell ref="A131:B131"/>
    <mergeCell ref="A135:B135"/>
    <mergeCell ref="A138:B138"/>
    <mergeCell ref="A141:B141"/>
    <mergeCell ref="A145:B145"/>
    <mergeCell ref="A148:B148"/>
  </mergeCells>
  <hyperlinks>
    <hyperlink ref="G1" location="Indice!A1" display="Volver"/>
  </hyperlinks>
  <printOptions/>
  <pageMargins left="0.25" right="0.25" top="0.24" bottom="0.24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subject/>
  <dc:creator>SBIF</dc:creator>
  <cp:keywords/>
  <dc:description/>
  <cp:lastModifiedBy>Juan C. Camus</cp:lastModifiedBy>
  <cp:lastPrinted>2006-08-22T13:32:03Z</cp:lastPrinted>
  <dcterms:created xsi:type="dcterms:W3CDTF">1998-06-19T14:09:35Z</dcterms:created>
  <dcterms:modified xsi:type="dcterms:W3CDTF">2006-08-22T13:46:58Z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