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416" windowWidth="11745" windowHeight="7725" activeTab="0"/>
  </bookViews>
  <sheets>
    <sheet name="Indice" sheetId="1" r:id="rId1"/>
    <sheet name="Información Sistema" sheetId="2" r:id="rId2"/>
    <sheet name="Activos-Pasivos Bancos" sheetId="3" r:id="rId3"/>
    <sheet name="Estado Resultados Bancos" sheetId="4" r:id="rId4"/>
    <sheet name="Indicadores Bancos" sheetId="5" r:id="rId5"/>
    <sheet name="Definiciones Usadas" sheetId="6" r:id="rId6"/>
  </sheets>
  <definedNames>
    <definedName name="_xlnm.Print_Area" localSheetId="2">'Activos-Pasivos Bancos'!$A$4:$P$46</definedName>
    <definedName name="_xlnm.Print_Area" localSheetId="5">'Definiciones Usadas'!$A$3:$G$34</definedName>
    <definedName name="_xlnm.Print_Area" localSheetId="3">'Estado Resultados Bancos'!$A$3:$Q$45</definedName>
    <definedName name="_xlnm.Print_Area" localSheetId="4">'Indicadores Bancos'!$A$3:$L$48</definedName>
    <definedName name="_xlnm.Print_Area" localSheetId="0">'Indice'!$A$1:$B$23</definedName>
    <definedName name="_xlnm.Print_Area" localSheetId="1">'Información Sistema'!$B$3:$F$74</definedName>
  </definedNames>
  <calcPr fullCalcOnLoad="1"/>
</workbook>
</file>

<file path=xl/sharedStrings.xml><?xml version="1.0" encoding="utf-8"?>
<sst xmlns="http://schemas.openxmlformats.org/spreadsheetml/2006/main" count="433" uniqueCount="259">
  <si>
    <t>Colocaciones</t>
  </si>
  <si>
    <t>Capital y</t>
  </si>
  <si>
    <t>totales</t>
  </si>
  <si>
    <t>reservas</t>
  </si>
  <si>
    <t>final</t>
  </si>
  <si>
    <t>Bice</t>
  </si>
  <si>
    <t>Corpbanca</t>
  </si>
  <si>
    <t>De Chile</t>
  </si>
  <si>
    <t>Del Desarrollo</t>
  </si>
  <si>
    <t>Internacional</t>
  </si>
  <si>
    <t>Santander-Chile</t>
  </si>
  <si>
    <t>Falabella</t>
  </si>
  <si>
    <t>Citibank N.A.</t>
  </si>
  <si>
    <t>Do Brasil S.A.</t>
  </si>
  <si>
    <t>De la Nación Argentina</t>
  </si>
  <si>
    <t>Sistema Financiero</t>
  </si>
  <si>
    <t>Bancos establecidos en Chile</t>
  </si>
  <si>
    <t xml:space="preserve">     </t>
  </si>
  <si>
    <t xml:space="preserve">       </t>
  </si>
  <si>
    <t>.</t>
  </si>
  <si>
    <t>Instituciones</t>
  </si>
  <si>
    <t>Scotiabank Sud Americano</t>
  </si>
  <si>
    <t>Ripley</t>
  </si>
  <si>
    <t>Sucursales de bancos extranjeros</t>
  </si>
  <si>
    <t>HNS Banco</t>
  </si>
  <si>
    <t>Bilbao Vizcaya Argentaria, Chile</t>
  </si>
  <si>
    <t>Monex</t>
  </si>
  <si>
    <t>Memo:</t>
  </si>
  <si>
    <t>ABN  Amro Bank (Chile)</t>
  </si>
  <si>
    <t>HSBC Bank (Chile)</t>
  </si>
  <si>
    <t>Penta</t>
  </si>
  <si>
    <t>Deutsche Bank (Chile)</t>
  </si>
  <si>
    <t>Security</t>
  </si>
  <si>
    <t>JP Morgan Chase Bank, N.A.</t>
  </si>
  <si>
    <t>BankBoston, N.A.</t>
  </si>
  <si>
    <t>Consumo</t>
  </si>
  <si>
    <t>vencidas</t>
  </si>
  <si>
    <t xml:space="preserve">Depósitos </t>
  </si>
  <si>
    <t>Comisiones</t>
  </si>
  <si>
    <t>netas</t>
  </si>
  <si>
    <t>castigadas</t>
  </si>
  <si>
    <t>Recuperac. de</t>
  </si>
  <si>
    <t>Otros</t>
  </si>
  <si>
    <t>Resultado</t>
  </si>
  <si>
    <t>operacional</t>
  </si>
  <si>
    <t>bruto</t>
  </si>
  <si>
    <t>Gastos de</t>
  </si>
  <si>
    <t>apoyo</t>
  </si>
  <si>
    <t>Gasto en provisiones</t>
  </si>
  <si>
    <t>Gasto en</t>
  </si>
  <si>
    <t>provisiones</t>
  </si>
  <si>
    <t>neto</t>
  </si>
  <si>
    <t>netos</t>
  </si>
  <si>
    <t>ingresos</t>
  </si>
  <si>
    <t xml:space="preserve">antes de </t>
  </si>
  <si>
    <t>impuestos</t>
  </si>
  <si>
    <t>más difer.</t>
  </si>
  <si>
    <t>de cambio net.</t>
  </si>
  <si>
    <t>Marg. de inter.</t>
  </si>
  <si>
    <t>Notas:</t>
  </si>
  <si>
    <t>Inversiones</t>
  </si>
  <si>
    <t>Activos</t>
  </si>
  <si>
    <t>contingentes</t>
  </si>
  <si>
    <t>BALANCE</t>
  </si>
  <si>
    <t>Monto</t>
  </si>
  <si>
    <t>MM$</t>
  </si>
  <si>
    <t>mes anterior</t>
  </si>
  <si>
    <t>12 meses</t>
  </si>
  <si>
    <t xml:space="preserve">Colocaciones totales  </t>
  </si>
  <si>
    <t>Inversiones totales</t>
  </si>
  <si>
    <t>Activos totales</t>
  </si>
  <si>
    <t>Depósitos totales</t>
  </si>
  <si>
    <t>Capital y reservas</t>
  </si>
  <si>
    <t>Colocaciones contingentes</t>
  </si>
  <si>
    <t>Contratos de leasing totales</t>
  </si>
  <si>
    <t>Colocaciones vencidas</t>
  </si>
  <si>
    <t>Colocaciones totales netas de contingentes</t>
  </si>
  <si>
    <t>ESTADO DE RESULTADOS</t>
  </si>
  <si>
    <t>Monto acumul.</t>
  </si>
  <si>
    <t>Comisiones netas</t>
  </si>
  <si>
    <t>Otros ingresos de operación netos</t>
  </si>
  <si>
    <t>Resultado operacional bruto</t>
  </si>
  <si>
    <t>Gastos de apoyo operacional</t>
  </si>
  <si>
    <t>Resultado operacional neto</t>
  </si>
  <si>
    <t>Resultado final</t>
  </si>
  <si>
    <t>Riesgo</t>
  </si>
  <si>
    <t>Colocaciones totales</t>
  </si>
  <si>
    <t>Provisiones de coloc.</t>
  </si>
  <si>
    <t>Coloc. vencidas</t>
  </si>
  <si>
    <t>Eficiencia</t>
  </si>
  <si>
    <t>(Cifras en millones de pesos)</t>
  </si>
  <si>
    <t>(Cifras en porcentajes)</t>
  </si>
  <si>
    <t>Operaciones de factoraje</t>
  </si>
  <si>
    <t>Impuestos</t>
  </si>
  <si>
    <t>Personas</t>
  </si>
  <si>
    <t>Totales</t>
  </si>
  <si>
    <t>Empresas</t>
  </si>
  <si>
    <t>en socied.</t>
  </si>
  <si>
    <t>Resultado antes de impuestos</t>
  </si>
  <si>
    <t xml:space="preserve">   - Personas</t>
  </si>
  <si>
    <t xml:space="preserve">   - Empresas</t>
  </si>
  <si>
    <t xml:space="preserve"> - Depósitos a plazo</t>
  </si>
  <si>
    <t>Fuente: Superintendencia de Bancos e Instituciones Financieras (Chile)</t>
  </si>
  <si>
    <t>Otros ingresos netos</t>
  </si>
  <si>
    <t>Plazo</t>
  </si>
  <si>
    <t>Vivienda</t>
  </si>
  <si>
    <t>Gastos de apoyo op.</t>
  </si>
  <si>
    <t>Antes de imptos.</t>
  </si>
  <si>
    <t>Después de imptos.</t>
  </si>
  <si>
    <t xml:space="preserve"> Activos totales</t>
  </si>
  <si>
    <t>Result. operc. bruto</t>
  </si>
  <si>
    <t>Definiciones</t>
  </si>
  <si>
    <t>Obligaciones con el exterior</t>
  </si>
  <si>
    <t>Instrumentos de deuda emitidos</t>
  </si>
  <si>
    <t xml:space="preserve"> - Letras de crédito</t>
  </si>
  <si>
    <t xml:space="preserve"> - Bonos ordinarios</t>
  </si>
  <si>
    <t xml:space="preserve"> - Bonos subordinados</t>
  </si>
  <si>
    <t>Instrumentos</t>
  </si>
  <si>
    <t>de deuda</t>
  </si>
  <si>
    <t>emitidos</t>
  </si>
  <si>
    <t xml:space="preserve">        - Comerciales</t>
  </si>
  <si>
    <t xml:space="preserve">        - Comercio exterior</t>
  </si>
  <si>
    <t xml:space="preserve">        - Interbancarias</t>
  </si>
  <si>
    <t xml:space="preserve">        - Consumo</t>
  </si>
  <si>
    <t xml:space="preserve">        - Vivienda</t>
  </si>
  <si>
    <t>Castigos del ejercicio</t>
  </si>
  <si>
    <t>Castigos</t>
  </si>
  <si>
    <t>del</t>
  </si>
  <si>
    <t>ejercicio</t>
  </si>
  <si>
    <t xml:space="preserve"> - Depósitos vista netos de canje</t>
  </si>
  <si>
    <t>Variación real respecto a: (%)</t>
  </si>
  <si>
    <t>mes anterior (1)</t>
  </si>
  <si>
    <t>12 meses (2)</t>
  </si>
  <si>
    <t>(2) Corresponde a la variación real entre los resultados acumulados a la fecha y los obtenidos a igual fecha del año anterior.</t>
  </si>
  <si>
    <t>Variación real respecto a:(%)</t>
  </si>
  <si>
    <t>Vista netos</t>
  </si>
  <si>
    <t>de canje</t>
  </si>
  <si>
    <t>Del Estado de Chile</t>
  </si>
  <si>
    <t>(3) El deflactor utilizado corresponde a la unidad de fomento (UF).</t>
  </si>
  <si>
    <t>(1) Corresponde a la variación real entre los resultados del mes, respecto de los registrados durante el mes anterior.</t>
  </si>
  <si>
    <t>Para Imprimir: Control+P</t>
  </si>
  <si>
    <t>Para Guardar: F12</t>
  </si>
  <si>
    <t>PRINCIPALES ACTIVOS, PASIVOS Y RESULTADOS</t>
  </si>
  <si>
    <t>DEL SISTEMA FINANCIERO CHILENO</t>
  </si>
  <si>
    <t>Bancos</t>
  </si>
  <si>
    <t>Principales Activos, Pasivos y Resultados del Sistema Financiero</t>
  </si>
  <si>
    <t>Indicadores por Instituciones</t>
  </si>
  <si>
    <t>Volver</t>
  </si>
  <si>
    <t>Definiciones usadas en este documento</t>
  </si>
  <si>
    <t>Principales Activos y Pasivos por Instituciones</t>
  </si>
  <si>
    <t>Estado de Resultado por Instituciones</t>
  </si>
  <si>
    <t>Concepto</t>
  </si>
  <si>
    <t>N° de Partida o de cuenta</t>
  </si>
  <si>
    <t xml:space="preserve">   Ptmos. comerciales (hasta 1 año)</t>
  </si>
  <si>
    <t xml:space="preserve"> + 1350 001</t>
  </si>
  <si>
    <t xml:space="preserve"> + 1350 004</t>
  </si>
  <si>
    <t xml:space="preserve"> + 1350 007</t>
  </si>
  <si>
    <t xml:space="preserve"> + 1421 001</t>
  </si>
  <si>
    <t xml:space="preserve"> + 1350 999</t>
  </si>
  <si>
    <t>+ Dividendos hipot. reprogramados</t>
  </si>
  <si>
    <t>Colocaciones comerciales</t>
  </si>
  <si>
    <t>Colocaciones de comercio exterior</t>
  </si>
  <si>
    <t xml:space="preserve">   Créditos importación (hasta 1 año)</t>
  </si>
  <si>
    <t>Colocaciones interbancarias</t>
  </si>
  <si>
    <t xml:space="preserve">   Ptmos. a instituciones financieras (hasta 1 año)</t>
  </si>
  <si>
    <t>Colocaciones a Personas</t>
  </si>
  <si>
    <t>Ptmos. de consumo (hasta 1 año)</t>
  </si>
  <si>
    <t xml:space="preserve"> + 1350 002</t>
  </si>
  <si>
    <t xml:space="preserve"> + 1350 005</t>
  </si>
  <si>
    <t xml:space="preserve"> + 1350 008</t>
  </si>
  <si>
    <t xml:space="preserve"> + 1421 002</t>
  </si>
  <si>
    <t>+ Ptmos. hipot. endosables para vivienda</t>
  </si>
  <si>
    <t xml:space="preserve"> + 1350 003</t>
  </si>
  <si>
    <t xml:space="preserve"> + 1350 006</t>
  </si>
  <si>
    <t xml:space="preserve"> + 1350 009</t>
  </si>
  <si>
    <t xml:space="preserve"> + 1421 003</t>
  </si>
  <si>
    <t xml:space="preserve">   Créditos hipotecarios para vivienda</t>
  </si>
  <si>
    <t>1705 a 1775</t>
  </si>
  <si>
    <t xml:space="preserve">   Total activo contable</t>
  </si>
  <si>
    <t>1005 a 2525</t>
  </si>
  <si>
    <t xml:space="preserve">   Acreedores en cuentas corrientes</t>
  </si>
  <si>
    <t>Depósitos a plazo</t>
  </si>
  <si>
    <t>Ptmos. y otras obligaciones con el exterior</t>
  </si>
  <si>
    <t>3505 a 3570</t>
  </si>
  <si>
    <t>3305 a 3315</t>
  </si>
  <si>
    <t xml:space="preserve"> + Bonos subordinados</t>
  </si>
  <si>
    <t>Letras de crédito</t>
  </si>
  <si>
    <t>Bonos ordinarios</t>
  </si>
  <si>
    <t>Bonos subordinados</t>
  </si>
  <si>
    <t>4305 a 4405</t>
  </si>
  <si>
    <t>1401 a 1421</t>
  </si>
  <si>
    <t xml:space="preserve">   Contratos de leasing</t>
  </si>
  <si>
    <t xml:space="preserve">   Operaciones de factoraje</t>
  </si>
  <si>
    <t>Margen de intereses más diferencias de cambio netas</t>
  </si>
  <si>
    <t xml:space="preserve">   Intereses percibidos y devengados</t>
  </si>
  <si>
    <t>7105 a 7200</t>
  </si>
  <si>
    <t>7305 a 7400</t>
  </si>
  <si>
    <t xml:space="preserve"> - 5105 a 5200</t>
  </si>
  <si>
    <t>7705 a 7710</t>
  </si>
  <si>
    <t>7505 a 7530</t>
  </si>
  <si>
    <t>Recuperación de colocaciones castigadas</t>
  </si>
  <si>
    <t>Recuperación de colocaciones e inversiones castigadas</t>
  </si>
  <si>
    <t xml:space="preserve"> + 6110 023 a 6110 026</t>
  </si>
  <si>
    <t>Otros ingresos  de operación netos</t>
  </si>
  <si>
    <t xml:space="preserve">  Utilidades por diferencias de precio</t>
  </si>
  <si>
    <t>7605 a 7650</t>
  </si>
  <si>
    <t xml:space="preserve">   Margen de intereses más diferencias de cambio</t>
  </si>
  <si>
    <t>6205 a 6290</t>
  </si>
  <si>
    <t xml:space="preserve">   Provisiones y castigos por activos</t>
  </si>
  <si>
    <t>6110 a 6140</t>
  </si>
  <si>
    <t xml:space="preserve"> - Recuperación de colocaciones castigadas</t>
  </si>
  <si>
    <t xml:space="preserve"> - 6110 023 a 6110 026</t>
  </si>
  <si>
    <t xml:space="preserve">  Resultado operacional bruto</t>
  </si>
  <si>
    <t>Utilidades de inversiones en sociedades y de sucurs. en el exterior</t>
  </si>
  <si>
    <t xml:space="preserve">  Ingresos por inversión en sociedades</t>
  </si>
  <si>
    <t>sucursales en el exterior</t>
  </si>
  <si>
    <t xml:space="preserve">   Resultado operacional neto</t>
  </si>
  <si>
    <t>Ingresos no operacionales</t>
  </si>
  <si>
    <t>8305 a 8315</t>
  </si>
  <si>
    <t xml:space="preserve"> + recuperación de gastos</t>
  </si>
  <si>
    <t xml:space="preserve">   y de sucursales en el exterior</t>
  </si>
  <si>
    <t>Impuesto a la renta</t>
  </si>
  <si>
    <t xml:space="preserve">   Resultado antes de impuestos</t>
  </si>
  <si>
    <t>Result. oper. neto después util. de invers. en soc. y suc. ext.</t>
  </si>
  <si>
    <t>Util. de invers.</t>
  </si>
  <si>
    <t>Res. op. neto</t>
  </si>
  <si>
    <t>colocaciones</t>
  </si>
  <si>
    <t>desp. ut. inv. en</t>
  </si>
  <si>
    <t>y suc. ext.</t>
  </si>
  <si>
    <t>soc. y suc. exter.</t>
  </si>
  <si>
    <t>ingresos de</t>
  </si>
  <si>
    <t>operación netos</t>
  </si>
  <si>
    <t>Colocaciones a Empresas</t>
  </si>
  <si>
    <t>Colocaciones de consumo</t>
  </si>
  <si>
    <t>Colocaciones de vivienda</t>
  </si>
  <si>
    <t>Depósitos a la vista netos de canje</t>
  </si>
  <si>
    <t>Utilidades de inversiones en sociedades y de sucursales en el exterior</t>
  </si>
  <si>
    <t>Resultado operacional neto después de util. de inversión en sociedades y</t>
  </si>
  <si>
    <t xml:space="preserve">   Resultado operacional neto después de util. de invers. en sociedades</t>
  </si>
  <si>
    <t>1110 a 1660</t>
  </si>
  <si>
    <t>1110 a 1421</t>
  </si>
  <si>
    <t>---</t>
  </si>
  <si>
    <t>De Crédito e Inversiones</t>
  </si>
  <si>
    <t>Actividad (variación en doce meses)  (1)</t>
  </si>
  <si>
    <t>Rentabilidad s/Capital y reservas  (2)</t>
  </si>
  <si>
    <t>Del Estado de Chile    (3)</t>
  </si>
  <si>
    <t>(1) Las variaciones son reales y usan como deflactor la unidad de fomento (UF).</t>
  </si>
  <si>
    <t>(2) Los porcentajes de rentabilidad se determinan anualizando las cifras de resultados (dividiendo estos últimos por el número de meses transcurridos y luego multiplicándolos por doce).</t>
  </si>
  <si>
    <t>(3) Esta institución está afecta a un régimen impositivo distinto que el del resto de la banca.</t>
  </si>
  <si>
    <t>Paris</t>
  </si>
  <si>
    <t xml:space="preserve">Paris </t>
  </si>
  <si>
    <t>Reporte de Información Financiera Mensual - Enero de 2006</t>
  </si>
  <si>
    <t xml:space="preserve"> AL MES DE ENERO DE 2006</t>
  </si>
  <si>
    <t>PRINCIPALES ACTIVOS Y PASIVOS POR INSTITUCIONES AL MES DE ENERO DE 2006</t>
  </si>
  <si>
    <t>ESTRUCTURA DEL ESTADO DE RESULTADOS POR INSTITUCIONES AL MES DE ENERO DE 2006</t>
  </si>
  <si>
    <t>INDICADORES POR INSTITUCIONES AL MES DE ENERO DE 2006</t>
  </si>
  <si>
    <t>Of Tokyo-Mitsubishi UFJ, Ltd.</t>
  </si>
  <si>
    <t>dic'2005</t>
  </si>
  <si>
    <t>Act.: 21/02/2006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</si>
</sst>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_);\(#,##0&quot;Pts&quot;\)"/>
    <numFmt numFmtId="173" formatCode="#,##0&quot;Pts&quot;_);[Red]\(#,##0&quot;Pts&quot;\)"/>
    <numFmt numFmtId="174" formatCode="#,##0.00&quot;Pts&quot;_);\(#,##0.00&quot;Pts&quot;\)"/>
    <numFmt numFmtId="175" formatCode="#,##0.00&quot;Pts&quot;_);[Red]\(#,##0.00&quot;Pts&quot;\)"/>
    <numFmt numFmtId="176" formatCode="_ * #,##0_)&quot;Pts&quot;_ ;_ * \(#,##0\)&quot;Pts&quot;_ ;_ * &quot;-&quot;_)&quot;Pts&quot;_ ;_ @_ "/>
    <numFmt numFmtId="177" formatCode="_ * #,##0_)_P_t_s_ ;_ * \(#,##0\)_P_t_s_ ;_ * &quot;-&quot;_)_P_t_s_ ;_ @_ "/>
    <numFmt numFmtId="178" formatCode="_ * #,##0.00_)&quot;Pts&quot;_ ;_ * \(#,##0.00\)&quot;Pts&quot;_ ;_ * &quot;-&quot;??_)&quot;Pts&quot;_ ;_ @_ "/>
    <numFmt numFmtId="179" formatCode="_ * #,##0.00_)_P_t_s_ ;_ * \(#,##0.00\)_P_t_s_ ;_ * &quot;-&quot;??_)_P_t_s_ ;_ @_ "/>
    <numFmt numFmtId="180" formatCode="0.0%"/>
    <numFmt numFmtId="181" formatCode="0.000%"/>
    <numFmt numFmtId="182" formatCode="0.00000"/>
    <numFmt numFmtId="183" formatCode="0.0000"/>
    <numFmt numFmtId="184" formatCode="0.000"/>
    <numFmt numFmtId="185" formatCode="0.000000"/>
    <numFmt numFmtId="186" formatCode="0.0000000"/>
    <numFmt numFmtId="187" formatCode="#,##0.0"/>
    <numFmt numFmtId="188" formatCode="0.0"/>
    <numFmt numFmtId="189" formatCode="\+\ General"/>
    <numFmt numFmtId="190" formatCode="\-\ General"/>
    <numFmt numFmtId="191" formatCode="0.00000000"/>
  </numFmts>
  <fonts count="23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4"/>
      <color indexed="21"/>
      <name val="Arial"/>
      <family val="2"/>
    </font>
    <font>
      <b/>
      <u val="single"/>
      <sz val="10"/>
      <color indexed="21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sz val="10"/>
      <name val="Geneva"/>
      <family val="0"/>
    </font>
    <font>
      <sz val="9"/>
      <name val="Lucida Sans"/>
      <family val="0"/>
    </font>
    <font>
      <sz val="9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7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8" fillId="2" borderId="0" xfId="0" applyFont="1" applyFill="1" applyBorder="1" applyAlignment="1">
      <alignment horizontal="centerContinuous"/>
    </xf>
    <xf numFmtId="4" fontId="9" fillId="2" borderId="0" xfId="0" applyNumberFormat="1" applyFont="1" applyFill="1" applyBorder="1" applyAlignment="1">
      <alignment horizontal="centerContinuous"/>
    </xf>
    <xf numFmtId="0" fontId="10" fillId="2" borderId="0" xfId="0" applyFont="1" applyFill="1" applyBorder="1" applyAlignment="1">
      <alignment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8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10" fontId="8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horizontal="center" vertical="center"/>
    </xf>
    <xf numFmtId="10" fontId="9" fillId="2" borderId="0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2" fontId="11" fillId="2" borderId="1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/>
    </xf>
    <xf numFmtId="3" fontId="11" fillId="2" borderId="7" xfId="0" applyNumberFormat="1" applyFont="1" applyFill="1" applyBorder="1" applyAlignment="1">
      <alignment/>
    </xf>
    <xf numFmtId="2" fontId="11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2" fontId="10" fillId="2" borderId="7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2" fontId="11" fillId="2" borderId="6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2" fontId="10" fillId="2" borderId="1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3" fontId="10" fillId="2" borderId="6" xfId="0" applyNumberFormat="1" applyFont="1" applyFill="1" applyBorder="1" applyAlignment="1">
      <alignment/>
    </xf>
    <xf numFmtId="2" fontId="10" fillId="2" borderId="6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/>
    </xf>
    <xf numFmtId="3" fontId="10" fillId="2" borderId="8" xfId="0" applyNumberFormat="1" applyFont="1" applyFill="1" applyBorder="1" applyAlignment="1">
      <alignment/>
    </xf>
    <xf numFmtId="2" fontId="10" fillId="2" borderId="8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/>
    </xf>
    <xf numFmtId="2" fontId="10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3" fontId="13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3" fontId="8" fillId="2" borderId="8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top"/>
    </xf>
    <xf numFmtId="10" fontId="8" fillId="2" borderId="8" xfId="0" applyNumberFormat="1" applyFont="1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 horizontal="right"/>
    </xf>
    <xf numFmtId="0" fontId="11" fillId="2" borderId="8" xfId="0" applyFont="1" applyFill="1" applyBorder="1" applyAlignment="1">
      <alignment/>
    </xf>
    <xf numFmtId="3" fontId="11" fillId="2" borderId="8" xfId="0" applyNumberFormat="1" applyFont="1" applyFill="1" applyBorder="1" applyAlignment="1">
      <alignment horizontal="right"/>
    </xf>
    <xf numFmtId="2" fontId="11" fillId="2" borderId="8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right"/>
    </xf>
    <xf numFmtId="3" fontId="11" fillId="2" borderId="9" xfId="0" applyNumberFormat="1" applyFont="1" applyFill="1" applyBorder="1" applyAlignment="1">
      <alignment horizontal="right"/>
    </xf>
    <xf numFmtId="3" fontId="10" fillId="2" borderId="10" xfId="0" applyNumberFormat="1" applyFont="1" applyFill="1" applyBorder="1" applyAlignment="1">
      <alignment horizontal="right"/>
    </xf>
    <xf numFmtId="3" fontId="11" fillId="2" borderId="11" xfId="0" applyNumberFormat="1" applyFont="1" applyFill="1" applyBorder="1" applyAlignment="1">
      <alignment horizontal="right"/>
    </xf>
    <xf numFmtId="2" fontId="11" fillId="2" borderId="11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3" fontId="10" fillId="2" borderId="11" xfId="0" applyNumberFormat="1" applyFont="1" applyFill="1" applyBorder="1" applyAlignment="1">
      <alignment horizontal="right"/>
    </xf>
    <xf numFmtId="2" fontId="10" fillId="2" borderId="1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3" fontId="10" fillId="2" borderId="0" xfId="0" applyNumberFormat="1" applyFont="1" applyFill="1" applyAlignment="1">
      <alignment/>
    </xf>
    <xf numFmtId="0" fontId="8" fillId="2" borderId="19" xfId="0" applyFont="1" applyFill="1" applyBorder="1" applyAlignment="1">
      <alignment/>
    </xf>
    <xf numFmtId="3" fontId="8" fillId="2" borderId="19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3" fontId="10" fillId="2" borderId="12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3" fontId="10" fillId="2" borderId="16" xfId="0" applyNumberFormat="1" applyFont="1" applyFill="1" applyBorder="1" applyAlignment="1">
      <alignment/>
    </xf>
    <xf numFmtId="3" fontId="8" fillId="2" borderId="0" xfId="0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0" fontId="8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0" fontId="8" fillId="2" borderId="20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3" fontId="11" fillId="2" borderId="0" xfId="0" applyNumberFormat="1" applyFont="1" applyFill="1" applyAlignment="1">
      <alignment/>
    </xf>
    <xf numFmtId="3" fontId="11" fillId="2" borderId="12" xfId="0" applyNumberFormat="1" applyFont="1" applyFill="1" applyBorder="1" applyAlignment="1">
      <alignment/>
    </xf>
    <xf numFmtId="3" fontId="11" fillId="2" borderId="14" xfId="0" applyNumberFormat="1" applyFont="1" applyFill="1" applyBorder="1" applyAlignment="1">
      <alignment/>
    </xf>
    <xf numFmtId="3" fontId="11" fillId="2" borderId="16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3" fontId="11" fillId="2" borderId="19" xfId="0" applyNumberFormat="1" applyFont="1" applyFill="1" applyBorder="1" applyAlignment="1">
      <alignment/>
    </xf>
    <xf numFmtId="0" fontId="15" fillId="2" borderId="0" xfId="0" applyFont="1" applyFill="1" applyAlignment="1">
      <alignment horizontal="center"/>
    </xf>
    <xf numFmtId="0" fontId="15" fillId="2" borderId="14" xfId="0" applyFont="1" applyFill="1" applyBorder="1" applyAlignment="1">
      <alignment horizontal="center"/>
    </xf>
    <xf numFmtId="4" fontId="8" fillId="2" borderId="19" xfId="0" applyNumberFormat="1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center"/>
    </xf>
    <xf numFmtId="4" fontId="10" fillId="2" borderId="14" xfId="0" applyNumberFormat="1" applyFont="1" applyFill="1" applyBorder="1" applyAlignment="1">
      <alignment horizontal="center"/>
    </xf>
    <xf numFmtId="4" fontId="10" fillId="2" borderId="14" xfId="0" applyNumberFormat="1" applyFont="1" applyFill="1" applyBorder="1" applyAlignment="1" quotePrefix="1">
      <alignment horizontal="center"/>
    </xf>
    <xf numFmtId="4" fontId="10" fillId="2" borderId="16" xfId="0" applyNumberFormat="1" applyFont="1" applyFill="1" applyBorder="1" applyAlignment="1">
      <alignment horizontal="center"/>
    </xf>
    <xf numFmtId="4" fontId="10" fillId="2" borderId="0" xfId="0" applyNumberFormat="1" applyFont="1" applyFill="1" applyAlignment="1">
      <alignment horizontal="center"/>
    </xf>
    <xf numFmtId="4" fontId="10" fillId="2" borderId="16" xfId="0" applyNumberFormat="1" applyFont="1" applyFill="1" applyBorder="1" applyAlignment="1" quotePrefix="1">
      <alignment horizontal="center"/>
    </xf>
    <xf numFmtId="4" fontId="8" fillId="2" borderId="0" xfId="0" applyNumberFormat="1" applyFont="1" applyFill="1" applyBorder="1" applyAlignment="1">
      <alignment horizontal="center"/>
    </xf>
    <xf numFmtId="180" fontId="10" fillId="2" borderId="0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7" fillId="3" borderId="0" xfId="0" applyFont="1" applyFill="1" applyAlignment="1">
      <alignment/>
    </xf>
    <xf numFmtId="0" fontId="18" fillId="2" borderId="0" xfId="15" applyFont="1" applyFill="1" applyAlignment="1">
      <alignment/>
    </xf>
    <xf numFmtId="0" fontId="18" fillId="2" borderId="0" xfId="15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0" fillId="2" borderId="22" xfId="0" applyFont="1" applyFill="1" applyBorder="1" applyAlignment="1">
      <alignment/>
    </xf>
    <xf numFmtId="0" fontId="10" fillId="2" borderId="16" xfId="0" applyFont="1" applyFill="1" applyBorder="1" applyAlignment="1">
      <alignment horizontal="right"/>
    </xf>
    <xf numFmtId="0" fontId="10" fillId="2" borderId="21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4" xfId="0" applyNumberFormat="1" applyFont="1" applyFill="1" applyBorder="1" applyAlignment="1">
      <alignment horizontal="right"/>
    </xf>
    <xf numFmtId="189" fontId="10" fillId="2" borderId="14" xfId="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 horizontal="right"/>
    </xf>
    <xf numFmtId="0" fontId="10" fillId="2" borderId="14" xfId="0" applyFont="1" applyFill="1" applyBorder="1" applyAlignment="1">
      <alignment horizontal="right"/>
    </xf>
    <xf numFmtId="189" fontId="10" fillId="2" borderId="16" xfId="0" applyNumberFormat="1" applyFont="1" applyFill="1" applyBorder="1" applyAlignment="1">
      <alignment horizontal="right"/>
    </xf>
    <xf numFmtId="0" fontId="10" fillId="2" borderId="16" xfId="0" applyFont="1" applyFill="1" applyBorder="1" applyAlignment="1">
      <alignment/>
    </xf>
    <xf numFmtId="189" fontId="11" fillId="2" borderId="0" xfId="0" applyNumberFormat="1" applyFont="1" applyFill="1" applyBorder="1" applyAlignment="1">
      <alignment horizontal="right"/>
    </xf>
    <xf numFmtId="190" fontId="10" fillId="2" borderId="16" xfId="0" applyNumberFormat="1" applyFont="1" applyFill="1" applyBorder="1" applyAlignment="1">
      <alignment horizontal="right"/>
    </xf>
    <xf numFmtId="189" fontId="10" fillId="2" borderId="14" xfId="0" applyNumberFormat="1" applyFont="1" applyFill="1" applyBorder="1" applyAlignment="1">
      <alignment/>
    </xf>
    <xf numFmtId="190" fontId="10" fillId="2" borderId="14" xfId="0" applyNumberFormat="1" applyFont="1" applyFill="1" applyBorder="1" applyAlignment="1">
      <alignment/>
    </xf>
    <xf numFmtId="189" fontId="10" fillId="2" borderId="16" xfId="0" applyNumberFormat="1" applyFont="1" applyFill="1" applyBorder="1" applyAlignment="1">
      <alignment/>
    </xf>
    <xf numFmtId="0" fontId="11" fillId="2" borderId="12" xfId="0" applyFont="1" applyFill="1" applyBorder="1" applyAlignment="1">
      <alignment/>
    </xf>
    <xf numFmtId="189" fontId="10" fillId="2" borderId="12" xfId="0" applyNumberFormat="1" applyFont="1" applyFill="1" applyBorder="1" applyAlignment="1">
      <alignment/>
    </xf>
    <xf numFmtId="190" fontId="10" fillId="2" borderId="16" xfId="0" applyNumberFormat="1" applyFont="1" applyFill="1" applyBorder="1" applyAlignment="1">
      <alignment/>
    </xf>
    <xf numFmtId="0" fontId="11" fillId="2" borderId="21" xfId="0" applyFont="1" applyFill="1" applyBorder="1" applyAlignment="1">
      <alignment/>
    </xf>
    <xf numFmtId="0" fontId="10" fillId="2" borderId="16" xfId="0" applyNumberFormat="1" applyFont="1" applyFill="1" applyBorder="1" applyAlignment="1">
      <alignment/>
    </xf>
    <xf numFmtId="0" fontId="10" fillId="2" borderId="12" xfId="0" applyNumberFormat="1" applyFont="1" applyFill="1" applyBorder="1" applyAlignment="1">
      <alignment/>
    </xf>
    <xf numFmtId="189" fontId="1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3" fontId="10" fillId="2" borderId="16" xfId="0" applyNumberFormat="1" applyFont="1" applyFill="1" applyBorder="1" applyAlignment="1">
      <alignment horizontal="right"/>
    </xf>
    <xf numFmtId="0" fontId="20" fillId="2" borderId="23" xfId="0" applyFont="1" applyFill="1" applyBorder="1" applyAlignment="1">
      <alignment/>
    </xf>
    <xf numFmtId="0" fontId="20" fillId="2" borderId="14" xfId="0" applyFont="1" applyFill="1" applyBorder="1" applyAlignment="1">
      <alignment/>
    </xf>
    <xf numFmtId="190" fontId="20" fillId="2" borderId="14" xfId="0" applyNumberFormat="1" applyFont="1" applyFill="1" applyBorder="1" applyAlignment="1">
      <alignment horizontal="right"/>
    </xf>
    <xf numFmtId="0" fontId="11" fillId="2" borderId="20" xfId="0" applyFont="1" applyFill="1" applyBorder="1" applyAlignment="1">
      <alignment horizontal="center"/>
    </xf>
    <xf numFmtId="0" fontId="10" fillId="2" borderId="16" xfId="0" applyFont="1" applyFill="1" applyBorder="1" applyAlignment="1">
      <alignment/>
    </xf>
    <xf numFmtId="0" fontId="11" fillId="2" borderId="22" xfId="0" applyFont="1" applyFill="1" applyBorder="1" applyAlignment="1">
      <alignment/>
    </xf>
    <xf numFmtId="3" fontId="10" fillId="2" borderId="2" xfId="0" applyNumberFormat="1" applyFont="1" applyFill="1" applyBorder="1" applyAlignment="1">
      <alignment horizontal="right"/>
    </xf>
    <xf numFmtId="2" fontId="10" fillId="2" borderId="2" xfId="0" applyNumberFormat="1" applyFont="1" applyFill="1" applyBorder="1" applyAlignment="1">
      <alignment horizontal="center"/>
    </xf>
    <xf numFmtId="2" fontId="10" fillId="2" borderId="6" xfId="0" applyNumberFormat="1" applyFont="1" applyFill="1" applyBorder="1" applyAlignment="1" quotePrefix="1">
      <alignment horizontal="center"/>
    </xf>
    <xf numFmtId="2" fontId="10" fillId="2" borderId="7" xfId="0" applyNumberFormat="1" applyFont="1" applyFill="1" applyBorder="1" applyAlignment="1" quotePrefix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0" fillId="2" borderId="20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11" fillId="2" borderId="17" xfId="0" applyFont="1" applyFill="1" applyBorder="1" applyAlignment="1">
      <alignment/>
    </xf>
    <xf numFmtId="2" fontId="10" fillId="2" borderId="10" xfId="0" applyNumberFormat="1" applyFont="1" applyFill="1" applyBorder="1" applyAlignment="1" quotePrefix="1">
      <alignment horizontal="center"/>
    </xf>
    <xf numFmtId="2" fontId="8" fillId="2" borderId="12" xfId="0" applyNumberFormat="1" applyFont="1" applyFill="1" applyBorder="1" applyAlignment="1">
      <alignment horizontal="center"/>
    </xf>
    <xf numFmtId="2" fontId="8" fillId="2" borderId="19" xfId="0" applyNumberFormat="1" applyFont="1" applyFill="1" applyBorder="1" applyAlignment="1">
      <alignment horizontal="center"/>
    </xf>
    <xf numFmtId="2" fontId="10" fillId="2" borderId="12" xfId="0" applyNumberFormat="1" applyFont="1" applyFill="1" applyBorder="1" applyAlignment="1">
      <alignment horizontal="center"/>
    </xf>
    <xf numFmtId="2" fontId="10" fillId="2" borderId="20" xfId="0" applyNumberFormat="1" applyFont="1" applyFill="1" applyBorder="1" applyAlignment="1">
      <alignment horizontal="center"/>
    </xf>
    <xf numFmtId="2" fontId="10" fillId="2" borderId="14" xfId="0" applyNumberFormat="1" applyFont="1" applyFill="1" applyBorder="1" applyAlignment="1">
      <alignment horizontal="center"/>
    </xf>
    <xf numFmtId="2" fontId="10" fillId="2" borderId="15" xfId="0" applyNumberFormat="1" applyFont="1" applyFill="1" applyBorder="1" applyAlignment="1">
      <alignment horizontal="center"/>
    </xf>
    <xf numFmtId="2" fontId="10" fillId="2" borderId="16" xfId="0" applyNumberFormat="1" applyFont="1" applyFill="1" applyBorder="1" applyAlignment="1">
      <alignment horizontal="center"/>
    </xf>
    <xf numFmtId="2" fontId="10" fillId="2" borderId="17" xfId="0" applyNumberFormat="1" applyFont="1" applyFill="1" applyBorder="1" applyAlignment="1">
      <alignment horizontal="center"/>
    </xf>
    <xf numFmtId="2" fontId="10" fillId="2" borderId="0" xfId="0" applyNumberFormat="1" applyFont="1" applyFill="1" applyAlignment="1">
      <alignment/>
    </xf>
    <xf numFmtId="2" fontId="10" fillId="2" borderId="0" xfId="0" applyNumberFormat="1" applyFont="1" applyFill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4" fontId="22" fillId="2" borderId="0" xfId="0" applyNumberFormat="1" applyFont="1" applyFill="1" applyBorder="1" applyAlignment="1">
      <alignment horizontal="center"/>
    </xf>
    <xf numFmtId="4" fontId="21" fillId="2" borderId="0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 quotePrefix="1">
      <alignment horizontal="center"/>
    </xf>
    <xf numFmtId="0" fontId="7" fillId="2" borderId="0" xfId="0" applyFont="1" applyFill="1" applyBorder="1" applyAlignment="1">
      <alignment horizontal="center"/>
    </xf>
    <xf numFmtId="10" fontId="8" fillId="2" borderId="11" xfId="0" applyNumberFormat="1" applyFont="1" applyFill="1" applyBorder="1" applyAlignment="1">
      <alignment horizontal="center" vertical="center"/>
    </xf>
    <xf numFmtId="10" fontId="8" fillId="2" borderId="9" xfId="0" applyNumberFormat="1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104775</xdr:rowOff>
    </xdr:from>
    <xdr:to>
      <xdr:col>0</xdr:col>
      <xdr:colOff>1438275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66700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66675</xdr:rowOff>
    </xdr:from>
    <xdr:to>
      <xdr:col>1</xdr:col>
      <xdr:colOff>1181100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9052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133350</xdr:rowOff>
    </xdr:from>
    <xdr:to>
      <xdr:col>0</xdr:col>
      <xdr:colOff>1314450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2</xdr:row>
      <xdr:rowOff>66675</xdr:rowOff>
    </xdr:from>
    <xdr:to>
      <xdr:col>0</xdr:col>
      <xdr:colOff>1590675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9052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</xdr:row>
      <xdr:rowOff>66675</xdr:rowOff>
    </xdr:from>
    <xdr:to>
      <xdr:col>0</xdr:col>
      <xdr:colOff>1419225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052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3</xdr:row>
      <xdr:rowOff>0</xdr:rowOff>
    </xdr:from>
    <xdr:to>
      <xdr:col>0</xdr:col>
      <xdr:colOff>1438275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8577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B24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2.625" style="3" customWidth="1"/>
    <col min="2" max="2" width="85.00390625" style="3" customWidth="1"/>
    <col min="3" max="16384" width="12.00390625" style="3" customWidth="1"/>
  </cols>
  <sheetData>
    <row r="2" ht="12.75"/>
    <row r="3" ht="12.75"/>
    <row r="4" ht="12.75"/>
    <row r="5" ht="12.75"/>
    <row r="6" ht="15.75">
      <c r="B6" s="107" t="s">
        <v>251</v>
      </c>
    </row>
    <row r="9" ht="12.75">
      <c r="B9" s="108" t="s">
        <v>15</v>
      </c>
    </row>
    <row r="11" ht="12.75">
      <c r="B11" s="109" t="s">
        <v>145</v>
      </c>
    </row>
    <row r="13" ht="12.75">
      <c r="B13" s="108" t="s">
        <v>144</v>
      </c>
    </row>
    <row r="15" ht="12.75">
      <c r="B15" s="109" t="s">
        <v>149</v>
      </c>
    </row>
    <row r="17" ht="12.75">
      <c r="B17" s="109" t="s">
        <v>150</v>
      </c>
    </row>
    <row r="19" ht="12.75">
      <c r="B19" s="109" t="s">
        <v>146</v>
      </c>
    </row>
    <row r="21" ht="12.75">
      <c r="B21" s="109" t="s">
        <v>148</v>
      </c>
    </row>
    <row r="24" ht="12.75">
      <c r="B24" s="79" t="s">
        <v>258</v>
      </c>
    </row>
  </sheetData>
  <hyperlinks>
    <hyperlink ref="B11" location="'Información Sistema'!A1" display="Principales Activos, Pasivos y Resultados del Sistema Financiero"/>
    <hyperlink ref="B15" location="'Activos-Pasivos Bancos'!A1" display="Principales activos y pasivos por instituciones"/>
    <hyperlink ref="B17" location="'Estado Resultados Bancos'!A1" display="Estado de resultado por Instituciones"/>
    <hyperlink ref="B19" location="'Indicadores Bancos'!A1" display="Indicadores por Instituciones"/>
    <hyperlink ref="B21" location="'Definiciones Usadas'!A1" display="Definiciones usadas en este documento"/>
  </hyperlinks>
  <printOptions/>
  <pageMargins left="0.75" right="0.75" top="1" bottom="1" header="0" footer="0"/>
  <pageSetup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workbookViewId="0" topLeftCell="A1">
      <selection activeCell="F1" sqref="F1"/>
    </sheetView>
  </sheetViews>
  <sheetFormatPr defaultColWidth="11.00390625" defaultRowHeight="12.75"/>
  <cols>
    <col min="1" max="1" width="12.00390625" style="3" customWidth="1"/>
    <col min="2" max="2" width="66.875" style="3" customWidth="1"/>
    <col min="3" max="3" width="16.875" style="3" customWidth="1"/>
    <col min="4" max="4" width="18.00390625" style="3" bestFit="1" customWidth="1"/>
    <col min="5" max="6" width="16.875" style="3" customWidth="1"/>
    <col min="7" max="16384" width="12.00390625" style="3" customWidth="1"/>
  </cols>
  <sheetData>
    <row r="1" spans="1:6" ht="12.75">
      <c r="A1" s="106" t="s">
        <v>140</v>
      </c>
      <c r="F1" s="110" t="s">
        <v>147</v>
      </c>
    </row>
    <row r="2" ht="12.75">
      <c r="A2" s="106" t="s">
        <v>141</v>
      </c>
    </row>
    <row r="3" spans="1:6" ht="15.75">
      <c r="A3" s="106"/>
      <c r="B3" s="176" t="s">
        <v>142</v>
      </c>
      <c r="C3" s="176"/>
      <c r="D3" s="176"/>
      <c r="E3" s="176"/>
      <c r="F3" s="176"/>
    </row>
    <row r="4" spans="2:6" ht="15.75">
      <c r="B4" s="176" t="s">
        <v>143</v>
      </c>
      <c r="C4" s="176"/>
      <c r="D4" s="176"/>
      <c r="E4" s="176"/>
      <c r="F4" s="176"/>
    </row>
    <row r="5" spans="2:6" ht="15.75">
      <c r="B5" s="1" t="s">
        <v>252</v>
      </c>
      <c r="C5" s="4"/>
      <c r="D5" s="2"/>
      <c r="E5" s="2"/>
      <c r="F5" s="5"/>
    </row>
    <row r="6" spans="2:6" ht="12" customHeight="1">
      <c r="B6" s="1"/>
      <c r="C6" s="4"/>
      <c r="D6" s="2"/>
      <c r="E6" s="2"/>
      <c r="F6" s="5"/>
    </row>
    <row r="7" spans="2:6" ht="12.75">
      <c r="B7" s="179" t="s">
        <v>63</v>
      </c>
      <c r="C7" s="180"/>
      <c r="D7" s="180"/>
      <c r="E7" s="180"/>
      <c r="F7" s="181"/>
    </row>
    <row r="8" spans="2:6" ht="9" customHeight="1">
      <c r="B8" s="6"/>
      <c r="C8" s="6"/>
      <c r="D8" s="6"/>
      <c r="E8" s="6"/>
      <c r="F8" s="6"/>
    </row>
    <row r="9" spans="2:6" ht="12.75">
      <c r="B9" s="7"/>
      <c r="C9" s="8" t="s">
        <v>64</v>
      </c>
      <c r="D9" s="9" t="s">
        <v>134</v>
      </c>
      <c r="E9" s="10"/>
      <c r="F9" s="11"/>
    </row>
    <row r="10" spans="2:6" ht="12.75">
      <c r="B10" s="12"/>
      <c r="C10" s="13" t="s">
        <v>65</v>
      </c>
      <c r="D10" s="14" t="s">
        <v>66</v>
      </c>
      <c r="E10" s="14" t="s">
        <v>257</v>
      </c>
      <c r="F10" s="14" t="s">
        <v>67</v>
      </c>
    </row>
    <row r="11" spans="2:6" ht="9" customHeight="1">
      <c r="B11" s="15"/>
      <c r="C11" s="16"/>
      <c r="D11" s="17"/>
      <c r="E11" s="17"/>
      <c r="F11" s="17"/>
    </row>
    <row r="12" spans="2:6" ht="12.75">
      <c r="B12" s="18" t="s">
        <v>68</v>
      </c>
      <c r="C12" s="19">
        <v>45238778.0138</v>
      </c>
      <c r="D12" s="20">
        <v>1.17807323562794</v>
      </c>
      <c r="E12" s="20">
        <v>1.17807323562794</v>
      </c>
      <c r="F12" s="20">
        <v>13.3771454507372</v>
      </c>
    </row>
    <row r="13" spans="2:6" ht="16.5" customHeight="1">
      <c r="B13" s="21" t="s">
        <v>100</v>
      </c>
      <c r="C13" s="22">
        <v>30350287.786</v>
      </c>
      <c r="D13" s="23">
        <v>1.02450865231087</v>
      </c>
      <c r="E13" s="23">
        <v>1.02450865231087</v>
      </c>
      <c r="F13" s="23">
        <v>11.1454072565621</v>
      </c>
    </row>
    <row r="14" spans="2:6" ht="12.75">
      <c r="B14" s="24" t="s">
        <v>120</v>
      </c>
      <c r="C14" s="25">
        <v>25877191.1076</v>
      </c>
      <c r="D14" s="26">
        <v>0.155758190066034</v>
      </c>
      <c r="E14" s="26">
        <v>0.155758190066034</v>
      </c>
      <c r="F14" s="26">
        <v>11.9280170117119</v>
      </c>
    </row>
    <row r="15" spans="2:6" ht="12.75">
      <c r="B15" s="24" t="s">
        <v>121</v>
      </c>
      <c r="C15" s="25">
        <v>3905425.0181</v>
      </c>
      <c r="D15" s="26">
        <v>7.95340042358754</v>
      </c>
      <c r="E15" s="26">
        <v>7.95340042358754</v>
      </c>
      <c r="F15" s="26">
        <v>6.21081093440692</v>
      </c>
    </row>
    <row r="16" spans="2:6" ht="12.75">
      <c r="B16" s="24" t="s">
        <v>122</v>
      </c>
      <c r="C16" s="25">
        <v>567671.6603</v>
      </c>
      <c r="D16" s="26">
        <v>-3.43365042545631</v>
      </c>
      <c r="E16" s="26">
        <v>-3.43365042545631</v>
      </c>
      <c r="F16" s="26">
        <v>11.2457779259726</v>
      </c>
    </row>
    <row r="17" spans="2:6" ht="12.75">
      <c r="B17" s="21" t="s">
        <v>99</v>
      </c>
      <c r="C17" s="22">
        <v>14888490.2272</v>
      </c>
      <c r="D17" s="23">
        <v>1.49256603410033</v>
      </c>
      <c r="E17" s="23">
        <v>1.49256603410033</v>
      </c>
      <c r="F17" s="23">
        <v>18.2159717754683</v>
      </c>
    </row>
    <row r="18" spans="2:6" ht="12.75">
      <c r="B18" s="24" t="s">
        <v>123</v>
      </c>
      <c r="C18" s="25">
        <v>5571002.5224</v>
      </c>
      <c r="D18" s="26">
        <v>2.15573453362639</v>
      </c>
      <c r="E18" s="26">
        <v>2.15573453362639</v>
      </c>
      <c r="F18" s="26">
        <v>21.035694738307</v>
      </c>
    </row>
    <row r="19" spans="2:6" ht="12.75">
      <c r="B19" s="24" t="s">
        <v>124</v>
      </c>
      <c r="C19" s="25">
        <v>9317487.7048</v>
      </c>
      <c r="D19" s="26">
        <v>1.10014935142238</v>
      </c>
      <c r="E19" s="26">
        <v>1.10014935142238</v>
      </c>
      <c r="F19" s="26">
        <v>16.5919344425346</v>
      </c>
    </row>
    <row r="20" spans="2:6" ht="9" customHeight="1">
      <c r="B20" s="24"/>
      <c r="C20" s="25"/>
      <c r="D20" s="26"/>
      <c r="E20" s="26"/>
      <c r="F20" s="26"/>
    </row>
    <row r="21" spans="2:6" ht="12.75">
      <c r="B21" s="21" t="s">
        <v>69</v>
      </c>
      <c r="C21" s="22">
        <v>8629526.2705</v>
      </c>
      <c r="D21" s="23">
        <v>-2.199666367972</v>
      </c>
      <c r="E21" s="23">
        <v>-2.199666367972</v>
      </c>
      <c r="F21" s="23">
        <v>-12.2811086890522</v>
      </c>
    </row>
    <row r="22" spans="2:6" ht="12.75">
      <c r="B22" s="24"/>
      <c r="C22" s="25"/>
      <c r="D22" s="26"/>
      <c r="E22" s="26"/>
      <c r="F22" s="26"/>
    </row>
    <row r="23" spans="2:6" ht="12.75">
      <c r="B23" s="27" t="s">
        <v>70</v>
      </c>
      <c r="C23" s="28">
        <v>61985134.7567</v>
      </c>
      <c r="D23" s="29">
        <v>1.29570274986141</v>
      </c>
      <c r="E23" s="29">
        <v>1.29570274986141</v>
      </c>
      <c r="F23" s="29">
        <v>10.3571287668166</v>
      </c>
    </row>
    <row r="24" spans="2:6" ht="9" customHeight="1">
      <c r="B24" s="30"/>
      <c r="C24" s="31"/>
      <c r="D24" s="32"/>
      <c r="E24" s="32"/>
      <c r="F24" s="32"/>
    </row>
    <row r="25" spans="2:6" ht="12.75">
      <c r="B25" s="18" t="s">
        <v>71</v>
      </c>
      <c r="C25" s="19">
        <v>37140850.947</v>
      </c>
      <c r="D25" s="20">
        <v>1.17677384989663</v>
      </c>
      <c r="E25" s="20">
        <v>1.17677384989663</v>
      </c>
      <c r="F25" s="20">
        <v>16.2505011066763</v>
      </c>
    </row>
    <row r="26" spans="2:6" ht="12.75">
      <c r="B26" s="24" t="s">
        <v>129</v>
      </c>
      <c r="C26" s="25">
        <v>8080674.6426</v>
      </c>
      <c r="D26" s="26">
        <v>0.824610728826678</v>
      </c>
      <c r="E26" s="26">
        <v>0.824610728826678</v>
      </c>
      <c r="F26" s="26">
        <v>3.95150132442137</v>
      </c>
    </row>
    <row r="27" spans="2:6" ht="12.75">
      <c r="B27" s="24" t="s">
        <v>101</v>
      </c>
      <c r="C27" s="25">
        <v>29060176.3044</v>
      </c>
      <c r="D27" s="26">
        <v>1.27513634413083</v>
      </c>
      <c r="E27" s="26">
        <v>1.27513634413083</v>
      </c>
      <c r="F27" s="26">
        <v>20.2051833986852</v>
      </c>
    </row>
    <row r="28" spans="2:6" ht="9" customHeight="1">
      <c r="B28" s="24"/>
      <c r="C28" s="25"/>
      <c r="D28" s="26"/>
      <c r="E28" s="26"/>
      <c r="F28" s="26"/>
    </row>
    <row r="29" spans="2:6" ht="12.75">
      <c r="B29" s="21" t="s">
        <v>112</v>
      </c>
      <c r="C29" s="22">
        <v>3475892.9591</v>
      </c>
      <c r="D29" s="23">
        <v>-5.05079036817883</v>
      </c>
      <c r="E29" s="23">
        <v>-5.05079036817883</v>
      </c>
      <c r="F29" s="23">
        <v>4.83210329689285</v>
      </c>
    </row>
    <row r="30" spans="2:6" ht="7.5" customHeight="1">
      <c r="B30" s="21"/>
      <c r="C30" s="22"/>
      <c r="D30" s="23"/>
      <c r="E30" s="23"/>
      <c r="F30" s="23"/>
    </row>
    <row r="31" spans="2:6" ht="12.75">
      <c r="B31" s="21" t="s">
        <v>113</v>
      </c>
      <c r="C31" s="22">
        <v>7637985.513</v>
      </c>
      <c r="D31" s="23">
        <v>-1.8472239793391</v>
      </c>
      <c r="E31" s="23">
        <v>-1.8472239793391</v>
      </c>
      <c r="F31" s="23">
        <v>-3.6675602314399</v>
      </c>
    </row>
    <row r="32" spans="2:6" ht="12.75">
      <c r="B32" s="24" t="s">
        <v>114</v>
      </c>
      <c r="C32" s="25">
        <v>4902760.8051</v>
      </c>
      <c r="D32" s="26">
        <v>-3.50744252014418</v>
      </c>
      <c r="E32" s="26">
        <v>-3.50744252014418</v>
      </c>
      <c r="F32" s="26">
        <v>-14.0215375161701</v>
      </c>
    </row>
    <row r="33" spans="2:6" ht="15" customHeight="1">
      <c r="B33" s="24" t="s">
        <v>115</v>
      </c>
      <c r="C33" s="25">
        <v>1262796.9713</v>
      </c>
      <c r="D33" s="26">
        <v>-0.403242500709385</v>
      </c>
      <c r="E33" s="26">
        <v>-0.403242500709385</v>
      </c>
      <c r="F33" s="26">
        <v>55.7828331524822</v>
      </c>
    </row>
    <row r="34" spans="2:6" ht="12.75">
      <c r="B34" s="24" t="s">
        <v>116</v>
      </c>
      <c r="C34" s="25">
        <v>1472427.7366</v>
      </c>
      <c r="D34" s="26">
        <v>2.76225575006471</v>
      </c>
      <c r="E34" s="26">
        <v>2.76225575006471</v>
      </c>
      <c r="F34" s="26">
        <v>3.99589264292348</v>
      </c>
    </row>
    <row r="35" spans="2:6" ht="9" customHeight="1">
      <c r="B35" s="24"/>
      <c r="C35" s="25"/>
      <c r="D35" s="26"/>
      <c r="E35" s="26"/>
      <c r="F35" s="26"/>
    </row>
    <row r="36" spans="2:6" ht="12.75">
      <c r="B36" s="27" t="s">
        <v>72</v>
      </c>
      <c r="C36" s="28">
        <v>5137600.1834</v>
      </c>
      <c r="D36" s="29">
        <v>18.2359863694718</v>
      </c>
      <c r="E36" s="29">
        <v>18.2359863694718</v>
      </c>
      <c r="F36" s="29">
        <v>7.53438871458303</v>
      </c>
    </row>
    <row r="37" spans="2:6" ht="9" customHeight="1">
      <c r="B37" s="33"/>
      <c r="C37" s="34"/>
      <c r="D37" s="35"/>
      <c r="E37" s="35"/>
      <c r="F37" s="35"/>
    </row>
    <row r="38" spans="2:6" ht="12.75">
      <c r="B38" s="85" t="s">
        <v>27</v>
      </c>
      <c r="C38" s="34"/>
      <c r="D38" s="35"/>
      <c r="E38" s="35"/>
      <c r="F38" s="35"/>
    </row>
    <row r="39" spans="2:6" ht="12.75">
      <c r="B39" s="36" t="s">
        <v>75</v>
      </c>
      <c r="C39" s="37">
        <v>418189.1245</v>
      </c>
      <c r="D39" s="38">
        <v>3.16009130804865</v>
      </c>
      <c r="E39" s="38">
        <v>3.16009130804865</v>
      </c>
      <c r="F39" s="38">
        <v>-13.9443459874452</v>
      </c>
    </row>
    <row r="40" spans="2:6" ht="12.75">
      <c r="B40" s="24" t="s">
        <v>74</v>
      </c>
      <c r="C40" s="25">
        <v>2162040.8721</v>
      </c>
      <c r="D40" s="26">
        <v>1.54991884697068</v>
      </c>
      <c r="E40" s="26">
        <v>1.54991884697068</v>
      </c>
      <c r="F40" s="26">
        <v>26.1920096121787</v>
      </c>
    </row>
    <row r="41" spans="2:6" ht="12.75">
      <c r="B41" s="24" t="s">
        <v>92</v>
      </c>
      <c r="C41" s="25">
        <v>460021.5174</v>
      </c>
      <c r="D41" s="26">
        <v>-25.2903627137533</v>
      </c>
      <c r="E41" s="26">
        <v>-25.2903627137533</v>
      </c>
      <c r="F41" s="26">
        <v>61.7369349249667</v>
      </c>
    </row>
    <row r="42" spans="2:6" ht="12.75">
      <c r="B42" s="39" t="s">
        <v>73</v>
      </c>
      <c r="C42" s="40">
        <v>3425162.4587</v>
      </c>
      <c r="D42" s="41">
        <v>0.0896526411743418</v>
      </c>
      <c r="E42" s="41">
        <v>0.0896526411743418</v>
      </c>
      <c r="F42" s="41">
        <v>15.6319384706903</v>
      </c>
    </row>
    <row r="43" spans="2:6" ht="9" customHeight="1">
      <c r="B43" s="33"/>
      <c r="C43" s="34"/>
      <c r="D43" s="35"/>
      <c r="E43" s="35"/>
      <c r="F43" s="35"/>
    </row>
    <row r="44" spans="2:6" ht="12.75">
      <c r="B44" s="42" t="s">
        <v>76</v>
      </c>
      <c r="C44" s="43">
        <v>41813615.555</v>
      </c>
      <c r="D44" s="44">
        <v>1.26828111207175</v>
      </c>
      <c r="E44" s="44">
        <v>1.26828111207175</v>
      </c>
      <c r="F44" s="44">
        <v>13.1963345154656</v>
      </c>
    </row>
    <row r="45" spans="2:6" ht="9" customHeight="1">
      <c r="B45" s="6"/>
      <c r="C45" s="45"/>
      <c r="D45" s="46"/>
      <c r="E45" s="46"/>
      <c r="F45" s="46"/>
    </row>
    <row r="46" spans="2:6" ht="12.75">
      <c r="B46" s="179" t="s">
        <v>77</v>
      </c>
      <c r="C46" s="180"/>
      <c r="D46" s="180"/>
      <c r="E46" s="180"/>
      <c r="F46" s="181"/>
    </row>
    <row r="47" spans="2:13" ht="9" customHeight="1">
      <c r="B47" s="47"/>
      <c r="C47" s="48"/>
      <c r="D47" s="49"/>
      <c r="E47" s="49"/>
      <c r="F47" s="172"/>
      <c r="G47" s="172"/>
      <c r="H47" s="172"/>
      <c r="I47" s="172"/>
      <c r="J47" s="172"/>
      <c r="K47" s="172"/>
      <c r="L47" s="172"/>
      <c r="M47" s="172"/>
    </row>
    <row r="48" spans="2:13" ht="12.75">
      <c r="B48" s="7"/>
      <c r="C48" s="50" t="s">
        <v>78</v>
      </c>
      <c r="D48" s="177" t="s">
        <v>130</v>
      </c>
      <c r="E48" s="178"/>
      <c r="F48" s="172"/>
      <c r="G48" s="172"/>
      <c r="H48" s="172"/>
      <c r="I48" s="172"/>
      <c r="J48" s="172"/>
      <c r="K48" s="172"/>
      <c r="L48" s="172"/>
      <c r="M48" s="172"/>
    </row>
    <row r="49" spans="2:13" ht="12.75">
      <c r="B49" s="51"/>
      <c r="C49" s="50" t="s">
        <v>65</v>
      </c>
      <c r="D49" s="52" t="s">
        <v>131</v>
      </c>
      <c r="E49" s="52" t="s">
        <v>132</v>
      </c>
      <c r="F49" s="172"/>
      <c r="G49" s="172"/>
      <c r="H49" s="172"/>
      <c r="I49" s="172"/>
      <c r="J49" s="172"/>
      <c r="K49" s="172"/>
      <c r="L49" s="172"/>
      <c r="M49" s="172"/>
    </row>
    <row r="50" spans="2:13" ht="12.75">
      <c r="B50" s="36" t="s">
        <v>193</v>
      </c>
      <c r="C50" s="147">
        <v>170388.8473</v>
      </c>
      <c r="D50" s="148">
        <v>0.293290672647819</v>
      </c>
      <c r="E50" s="38">
        <v>9.74182450246484</v>
      </c>
      <c r="F50" s="172"/>
      <c r="G50" s="172"/>
      <c r="H50" s="172"/>
      <c r="I50" s="172"/>
      <c r="J50" s="172"/>
      <c r="K50" s="172"/>
      <c r="L50" s="172"/>
      <c r="M50" s="172"/>
    </row>
    <row r="51" spans="2:13" ht="12.75">
      <c r="B51" s="24" t="s">
        <v>79</v>
      </c>
      <c r="C51" s="53">
        <v>47122.262</v>
      </c>
      <c r="D51" s="26">
        <v>-9.09969555711216</v>
      </c>
      <c r="E51" s="26">
        <v>16.3397155889422</v>
      </c>
      <c r="F51" s="172"/>
      <c r="G51" s="172"/>
      <c r="H51" s="172"/>
      <c r="I51" s="172"/>
      <c r="J51" s="172"/>
      <c r="K51" s="172"/>
      <c r="L51" s="172"/>
      <c r="M51" s="172"/>
    </row>
    <row r="52" spans="2:13" ht="12.75">
      <c r="B52" s="24" t="s">
        <v>200</v>
      </c>
      <c r="C52" s="53">
        <v>14711.9717</v>
      </c>
      <c r="D52" s="26">
        <v>-22.9959567294433</v>
      </c>
      <c r="E52" s="26">
        <v>24.7888894067104</v>
      </c>
      <c r="F52" s="172"/>
      <c r="G52" s="172"/>
      <c r="H52" s="172"/>
      <c r="I52" s="172"/>
      <c r="J52" s="172"/>
      <c r="K52" s="172"/>
      <c r="L52" s="172"/>
      <c r="M52" s="172"/>
    </row>
    <row r="53" spans="2:13" ht="12.75">
      <c r="B53" s="39" t="s">
        <v>80</v>
      </c>
      <c r="C53" s="54">
        <v>28115.3642</v>
      </c>
      <c r="D53" s="149" t="s">
        <v>241</v>
      </c>
      <c r="E53" s="149">
        <v>1.6666151781207</v>
      </c>
      <c r="F53" s="172"/>
      <c r="G53" s="172"/>
      <c r="H53" s="172"/>
      <c r="I53" s="172"/>
      <c r="J53" s="172"/>
      <c r="K53" s="172"/>
      <c r="L53" s="172"/>
      <c r="M53" s="172"/>
    </row>
    <row r="54" spans="2:13" ht="12.75">
      <c r="B54" s="55" t="s">
        <v>81</v>
      </c>
      <c r="C54" s="56">
        <v>260338.4453</v>
      </c>
      <c r="D54" s="57">
        <v>4.41295925829056</v>
      </c>
      <c r="E54" s="57">
        <v>10.6827768808663</v>
      </c>
      <c r="F54" s="172"/>
      <c r="G54" s="172"/>
      <c r="H54" s="172"/>
      <c r="I54" s="172"/>
      <c r="J54" s="172"/>
      <c r="K54" s="172"/>
      <c r="L54" s="172"/>
      <c r="M54" s="172"/>
    </row>
    <row r="55" spans="2:13" ht="12.75">
      <c r="B55" s="36" t="s">
        <v>82</v>
      </c>
      <c r="C55" s="58">
        <v>122778.0927</v>
      </c>
      <c r="D55" s="38">
        <v>-15.2613480637104</v>
      </c>
      <c r="E55" s="38">
        <v>9.36373753557658</v>
      </c>
      <c r="F55" s="172"/>
      <c r="G55" s="172"/>
      <c r="H55" s="172"/>
      <c r="I55" s="172"/>
      <c r="J55" s="172"/>
      <c r="K55" s="172"/>
      <c r="L55" s="172"/>
      <c r="M55" s="172"/>
    </row>
    <row r="56" spans="2:13" ht="12.75">
      <c r="B56" s="39" t="s">
        <v>48</v>
      </c>
      <c r="C56" s="54">
        <v>47035.096</v>
      </c>
      <c r="D56" s="41">
        <v>9.39509417132384</v>
      </c>
      <c r="E56" s="41">
        <v>31.5428882538323</v>
      </c>
      <c r="F56" s="172"/>
      <c r="G56" s="172"/>
      <c r="H56" s="172"/>
      <c r="I56" s="172"/>
      <c r="J56" s="172"/>
      <c r="K56" s="172"/>
      <c r="L56" s="172"/>
      <c r="M56" s="172"/>
    </row>
    <row r="57" spans="2:13" ht="12.75">
      <c r="B57" s="55" t="s">
        <v>83</v>
      </c>
      <c r="C57" s="56">
        <v>90525.2565999999</v>
      </c>
      <c r="D57" s="57">
        <v>47.3166197414185</v>
      </c>
      <c r="E57" s="57">
        <v>3.82640063535582</v>
      </c>
      <c r="F57" s="172"/>
      <c r="G57" s="172"/>
      <c r="H57" s="172"/>
      <c r="I57" s="172"/>
      <c r="J57" s="172"/>
      <c r="K57" s="172"/>
      <c r="L57" s="172"/>
      <c r="M57" s="172"/>
    </row>
    <row r="58" spans="2:13" ht="12.75">
      <c r="B58" s="36" t="s">
        <v>213</v>
      </c>
      <c r="C58" s="58">
        <v>12180.1909</v>
      </c>
      <c r="D58" s="175">
        <v>46.6383055328524</v>
      </c>
      <c r="E58" s="38">
        <v>6.24144449895021</v>
      </c>
      <c r="F58" s="172"/>
      <c r="G58" s="172"/>
      <c r="H58" s="172"/>
      <c r="I58" s="172"/>
      <c r="J58" s="172"/>
      <c r="K58" s="172"/>
      <c r="L58" s="172"/>
      <c r="M58" s="172"/>
    </row>
    <row r="59" spans="2:13" ht="12.75">
      <c r="B59" s="55" t="s">
        <v>223</v>
      </c>
      <c r="C59" s="59">
        <v>102705.4476</v>
      </c>
      <c r="D59" s="57">
        <v>47.2358484756591</v>
      </c>
      <c r="E59" s="57">
        <v>4.10705512253888</v>
      </c>
      <c r="F59" s="172"/>
      <c r="G59" s="172"/>
      <c r="H59" s="172"/>
      <c r="I59" s="172"/>
      <c r="J59" s="172"/>
      <c r="K59" s="172"/>
      <c r="L59" s="172"/>
      <c r="M59" s="172"/>
    </row>
    <row r="60" spans="2:13" ht="12.75">
      <c r="B60" s="24" t="s">
        <v>103</v>
      </c>
      <c r="C60" s="53">
        <v>-6112.02600000001</v>
      </c>
      <c r="D60" s="150">
        <v>178.833740053857</v>
      </c>
      <c r="E60" s="26">
        <v>-22.1184882665194</v>
      </c>
      <c r="F60" s="172"/>
      <c r="G60" s="172"/>
      <c r="H60" s="172"/>
      <c r="I60" s="172"/>
      <c r="J60" s="172"/>
      <c r="K60" s="172"/>
      <c r="L60" s="172"/>
      <c r="M60" s="172"/>
    </row>
    <row r="61" spans="2:13" ht="12.75">
      <c r="B61" s="55" t="s">
        <v>98</v>
      </c>
      <c r="C61" s="56">
        <v>96593.4215</v>
      </c>
      <c r="D61" s="57">
        <v>42.9663668752932</v>
      </c>
      <c r="E61" s="57">
        <v>6.37358561469701</v>
      </c>
      <c r="F61" s="172"/>
      <c r="G61" s="172"/>
      <c r="H61" s="172"/>
      <c r="I61" s="172"/>
      <c r="J61" s="172"/>
      <c r="K61" s="172"/>
      <c r="L61" s="172"/>
      <c r="M61" s="172"/>
    </row>
    <row r="62" spans="2:13" ht="12.75">
      <c r="B62" s="39" t="s">
        <v>93</v>
      </c>
      <c r="C62" s="60">
        <v>18177.8745</v>
      </c>
      <c r="D62" s="160">
        <v>27.7178580007425</v>
      </c>
      <c r="E62" s="41">
        <v>0.513671488151468</v>
      </c>
      <c r="F62" s="172"/>
      <c r="G62" s="172"/>
      <c r="H62" s="172"/>
      <c r="I62" s="172"/>
      <c r="J62" s="172"/>
      <c r="K62" s="172"/>
      <c r="L62" s="172"/>
      <c r="M62" s="172"/>
    </row>
    <row r="63" spans="2:13" ht="12.75">
      <c r="B63" s="55" t="s">
        <v>84</v>
      </c>
      <c r="C63" s="61">
        <v>78415.5469</v>
      </c>
      <c r="D63" s="62">
        <v>47.03585589482</v>
      </c>
      <c r="E63" s="57">
        <v>7.83088987099818</v>
      </c>
      <c r="F63" s="172"/>
      <c r="G63" s="172"/>
      <c r="H63" s="172"/>
      <c r="I63" s="172"/>
      <c r="J63" s="172"/>
      <c r="K63" s="172"/>
      <c r="L63" s="172"/>
      <c r="M63" s="172"/>
    </row>
    <row r="64" spans="3:13" ht="12.75">
      <c r="C64" s="76"/>
      <c r="F64" s="172"/>
      <c r="G64" s="172"/>
      <c r="H64" s="172"/>
      <c r="I64" s="172"/>
      <c r="J64" s="172"/>
      <c r="K64" s="172"/>
      <c r="L64" s="172"/>
      <c r="M64" s="172"/>
    </row>
    <row r="65" spans="2:13" ht="12.75">
      <c r="B65" s="88" t="s">
        <v>27</v>
      </c>
      <c r="F65" s="172"/>
      <c r="G65" s="172"/>
      <c r="H65" s="172"/>
      <c r="I65" s="172"/>
      <c r="J65" s="172"/>
      <c r="K65" s="172"/>
      <c r="L65" s="172"/>
      <c r="M65" s="172"/>
    </row>
    <row r="66" spans="2:13" ht="12.75">
      <c r="B66" s="42" t="s">
        <v>125</v>
      </c>
      <c r="C66" s="64">
        <v>48309.0413</v>
      </c>
      <c r="D66" s="65">
        <v>33.0890254498335</v>
      </c>
      <c r="E66" s="44">
        <v>41.908397203379</v>
      </c>
      <c r="F66" s="172"/>
      <c r="G66" s="172"/>
      <c r="H66" s="172"/>
      <c r="I66" s="172"/>
      <c r="J66" s="172"/>
      <c r="K66" s="172"/>
      <c r="L66" s="172"/>
      <c r="M66" s="172"/>
    </row>
    <row r="67" spans="6:13" ht="12.75">
      <c r="F67" s="172"/>
      <c r="G67" s="172"/>
      <c r="H67" s="172"/>
      <c r="I67" s="172"/>
      <c r="J67" s="172"/>
      <c r="K67" s="172"/>
      <c r="L67" s="172"/>
      <c r="M67" s="172"/>
    </row>
    <row r="68" spans="2:13" ht="12.75">
      <c r="B68" s="3" t="s">
        <v>59</v>
      </c>
      <c r="F68" s="172"/>
      <c r="G68" s="172"/>
      <c r="H68" s="172"/>
      <c r="I68" s="172"/>
      <c r="J68" s="172"/>
      <c r="K68" s="172"/>
      <c r="L68" s="172"/>
      <c r="M68" s="172"/>
    </row>
    <row r="69" ht="12.75">
      <c r="B69" s="3" t="s">
        <v>139</v>
      </c>
    </row>
    <row r="70" ht="12.75">
      <c r="B70" s="3" t="s">
        <v>133</v>
      </c>
    </row>
    <row r="71" ht="12.75">
      <c r="B71" s="3" t="s">
        <v>138</v>
      </c>
    </row>
    <row r="73" spans="2:12" ht="12.75">
      <c r="B73" s="3" t="s">
        <v>102</v>
      </c>
      <c r="E73"/>
      <c r="I73" s="173"/>
      <c r="J73" s="6"/>
      <c r="K73" s="174"/>
      <c r="L73" s="174"/>
    </row>
  </sheetData>
  <mergeCells count="5">
    <mergeCell ref="B3:F3"/>
    <mergeCell ref="D48:E48"/>
    <mergeCell ref="B7:F7"/>
    <mergeCell ref="B46:F46"/>
    <mergeCell ref="B4:F4"/>
  </mergeCells>
  <hyperlinks>
    <hyperlink ref="F1" location="Indice!A1" display="Volver"/>
  </hyperlinks>
  <printOptions horizontalCentered="1"/>
  <pageMargins left="0.15748031496062992" right="0.2755905511811024" top="0.37" bottom="0.31" header="0" footer="0"/>
  <pageSetup fitToHeight="1" fitToWidth="1" horizontalDpi="600" verticalDpi="600" orientation="portrait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47.625" style="3" customWidth="1"/>
    <col min="2" max="2" width="17.875" style="3" bestFit="1" customWidth="1"/>
    <col min="3" max="8" width="17.625" style="3" customWidth="1"/>
    <col min="9" max="9" width="17.125" style="3" bestFit="1" customWidth="1"/>
    <col min="10" max="10" width="15.125" style="3" bestFit="1" customWidth="1"/>
    <col min="11" max="11" width="16.50390625" style="3" bestFit="1" customWidth="1"/>
    <col min="12" max="12" width="15.00390625" style="3" bestFit="1" customWidth="1"/>
    <col min="13" max="13" width="16.125" style="3" bestFit="1" customWidth="1"/>
    <col min="14" max="14" width="4.375" style="3" customWidth="1"/>
    <col min="15" max="16" width="15.125" style="3" bestFit="1" customWidth="1"/>
    <col min="17" max="16384" width="12.00390625" style="3" customWidth="1"/>
  </cols>
  <sheetData>
    <row r="1" spans="1:16" ht="12.75">
      <c r="A1" s="106" t="s">
        <v>140</v>
      </c>
      <c r="P1" s="110" t="s">
        <v>147</v>
      </c>
    </row>
    <row r="2" ht="12.75">
      <c r="A2" s="106" t="s">
        <v>141</v>
      </c>
    </row>
    <row r="3" ht="12.75">
      <c r="A3" s="106"/>
    </row>
    <row r="4" spans="1:16" ht="18">
      <c r="A4" s="185" t="s">
        <v>253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</row>
    <row r="5" spans="1:16" ht="12.75">
      <c r="A5" s="186" t="s">
        <v>90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</row>
    <row r="6" spans="1:15" ht="12.7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6" s="49" customFormat="1" ht="12.75">
      <c r="A7" s="68"/>
      <c r="B7" s="182" t="s">
        <v>0</v>
      </c>
      <c r="C7" s="183"/>
      <c r="D7" s="183"/>
      <c r="E7" s="183"/>
      <c r="F7" s="184"/>
      <c r="G7" s="69" t="s">
        <v>60</v>
      </c>
      <c r="H7" s="68" t="s">
        <v>61</v>
      </c>
      <c r="I7" s="183" t="s">
        <v>37</v>
      </c>
      <c r="J7" s="183"/>
      <c r="K7" s="184"/>
      <c r="L7" s="68" t="s">
        <v>117</v>
      </c>
      <c r="M7" s="68" t="s">
        <v>1</v>
      </c>
      <c r="N7" s="70"/>
      <c r="O7" s="68" t="s">
        <v>0</v>
      </c>
      <c r="P7" s="68" t="s">
        <v>0</v>
      </c>
    </row>
    <row r="8" spans="1:16" s="49" customFormat="1" ht="12.75">
      <c r="A8" s="71" t="s">
        <v>20</v>
      </c>
      <c r="B8" s="72" t="s">
        <v>95</v>
      </c>
      <c r="C8" s="71" t="s">
        <v>96</v>
      </c>
      <c r="D8" s="182" t="s">
        <v>94</v>
      </c>
      <c r="E8" s="183"/>
      <c r="F8" s="184"/>
      <c r="G8" s="66" t="s">
        <v>2</v>
      </c>
      <c r="H8" s="71" t="s">
        <v>2</v>
      </c>
      <c r="I8" s="72" t="s">
        <v>95</v>
      </c>
      <c r="J8" s="71" t="s">
        <v>135</v>
      </c>
      <c r="K8" s="71" t="s">
        <v>104</v>
      </c>
      <c r="L8" s="71" t="s">
        <v>118</v>
      </c>
      <c r="M8" s="71" t="s">
        <v>3</v>
      </c>
      <c r="N8" s="70"/>
      <c r="O8" s="71" t="s">
        <v>62</v>
      </c>
      <c r="P8" s="71" t="s">
        <v>36</v>
      </c>
    </row>
    <row r="9" spans="1:16" s="49" customFormat="1" ht="12.75">
      <c r="A9" s="73"/>
      <c r="B9" s="74"/>
      <c r="C9" s="73"/>
      <c r="D9" s="73" t="s">
        <v>95</v>
      </c>
      <c r="E9" s="73" t="s">
        <v>35</v>
      </c>
      <c r="F9" s="73" t="s">
        <v>105</v>
      </c>
      <c r="G9" s="75"/>
      <c r="H9" s="73"/>
      <c r="I9" s="74"/>
      <c r="J9" s="73" t="s">
        <v>136</v>
      </c>
      <c r="K9" s="73"/>
      <c r="L9" s="73" t="s">
        <v>119</v>
      </c>
      <c r="M9" s="73"/>
      <c r="N9" s="70"/>
      <c r="O9" s="73"/>
      <c r="P9" s="73"/>
    </row>
    <row r="10" spans="2:16" ht="12.75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O10" s="76"/>
      <c r="P10" s="76"/>
    </row>
    <row r="11" spans="1:16" s="49" customFormat="1" ht="12.75">
      <c r="A11" s="77" t="s">
        <v>16</v>
      </c>
      <c r="B11" s="78">
        <v>37082885.5841</v>
      </c>
      <c r="C11" s="78">
        <v>26047662.0578</v>
      </c>
      <c r="D11" s="78">
        <v>11035223.5256</v>
      </c>
      <c r="E11" s="78">
        <v>4442763.8369</v>
      </c>
      <c r="F11" s="78">
        <v>6592459.6887</v>
      </c>
      <c r="G11" s="78">
        <v>4857548.5768</v>
      </c>
      <c r="H11" s="78">
        <v>48129899.4047</v>
      </c>
      <c r="I11" s="78">
        <v>28915354.1432</v>
      </c>
      <c r="J11" s="78">
        <v>5995125.1265</v>
      </c>
      <c r="K11" s="78">
        <v>22920229.0167</v>
      </c>
      <c r="L11" s="78">
        <v>5067386.8212</v>
      </c>
      <c r="M11" s="78">
        <v>4062762.7854</v>
      </c>
      <c r="N11" s="79"/>
      <c r="O11" s="78">
        <v>3143316.9456</v>
      </c>
      <c r="P11" s="78">
        <v>358029.1644</v>
      </c>
    </row>
    <row r="12" spans="1:16" ht="12.75">
      <c r="A12" s="80" t="s">
        <v>28</v>
      </c>
      <c r="B12" s="80">
        <v>171478.1334</v>
      </c>
      <c r="C12" s="80">
        <v>170464.7954</v>
      </c>
      <c r="D12" s="80">
        <v>1013.3377</v>
      </c>
      <c r="E12" s="80">
        <v>22.541</v>
      </c>
      <c r="F12" s="80">
        <v>990.7967</v>
      </c>
      <c r="G12" s="80">
        <v>151729.8872</v>
      </c>
      <c r="H12" s="80">
        <v>455556.0182</v>
      </c>
      <c r="I12" s="80">
        <v>155251.7853</v>
      </c>
      <c r="J12" s="80">
        <v>15512.9907</v>
      </c>
      <c r="K12" s="80">
        <v>139738.7946</v>
      </c>
      <c r="L12" s="80">
        <v>0</v>
      </c>
      <c r="M12" s="80">
        <v>97479.8397</v>
      </c>
      <c r="N12" s="76"/>
      <c r="O12" s="80">
        <v>19312.3163</v>
      </c>
      <c r="P12" s="80">
        <v>3459.7343</v>
      </c>
    </row>
    <row r="13" spans="1:16" ht="12.75">
      <c r="A13" s="81" t="s">
        <v>25</v>
      </c>
      <c r="B13" s="81">
        <v>3587014.8209</v>
      </c>
      <c r="C13" s="81">
        <v>2390122.92</v>
      </c>
      <c r="D13" s="81">
        <v>1196891.9002</v>
      </c>
      <c r="E13" s="81">
        <v>312983.0973</v>
      </c>
      <c r="F13" s="81">
        <v>883908.8029</v>
      </c>
      <c r="G13" s="81">
        <v>244047.2147</v>
      </c>
      <c r="H13" s="81">
        <v>4238430.6103</v>
      </c>
      <c r="I13" s="81">
        <v>2912750.0648</v>
      </c>
      <c r="J13" s="81">
        <v>393284.4395</v>
      </c>
      <c r="K13" s="81">
        <v>2519465.6253</v>
      </c>
      <c r="L13" s="81">
        <v>295925.7735</v>
      </c>
      <c r="M13" s="81">
        <v>287946.2201</v>
      </c>
      <c r="N13" s="76"/>
      <c r="O13" s="81">
        <v>293840.4842</v>
      </c>
      <c r="P13" s="81">
        <v>39316.9828</v>
      </c>
    </row>
    <row r="14" spans="1:16" ht="12.75">
      <c r="A14" s="81" t="s">
        <v>5</v>
      </c>
      <c r="B14" s="81">
        <v>1205198.4818</v>
      </c>
      <c r="C14" s="81">
        <v>1072938.013</v>
      </c>
      <c r="D14" s="81">
        <v>132260.4683</v>
      </c>
      <c r="E14" s="81">
        <v>32706.9578</v>
      </c>
      <c r="F14" s="81">
        <v>99553.5105</v>
      </c>
      <c r="G14" s="81">
        <v>248156.259</v>
      </c>
      <c r="H14" s="81">
        <v>1639938.2227</v>
      </c>
      <c r="I14" s="81">
        <v>1025233.2628</v>
      </c>
      <c r="J14" s="81">
        <v>161021.8296</v>
      </c>
      <c r="K14" s="81">
        <v>864211.4332</v>
      </c>
      <c r="L14" s="81">
        <v>147927.5169</v>
      </c>
      <c r="M14" s="81">
        <v>133869.2074</v>
      </c>
      <c r="N14" s="76"/>
      <c r="O14" s="81">
        <v>158138.8403</v>
      </c>
      <c r="P14" s="81">
        <v>3584.1964</v>
      </c>
    </row>
    <row r="15" spans="1:16" ht="12.75">
      <c r="A15" s="81" t="s">
        <v>6</v>
      </c>
      <c r="B15" s="81">
        <v>2815330.507</v>
      </c>
      <c r="C15" s="81">
        <v>2219946.1929</v>
      </c>
      <c r="D15" s="81">
        <v>595384.3135</v>
      </c>
      <c r="E15" s="81">
        <v>359265.0827</v>
      </c>
      <c r="F15" s="81">
        <v>236119.2308</v>
      </c>
      <c r="G15" s="81">
        <v>251868.843</v>
      </c>
      <c r="H15" s="81">
        <v>3315475.256</v>
      </c>
      <c r="I15" s="81">
        <v>1773930.0379</v>
      </c>
      <c r="J15" s="81">
        <v>180259.1471</v>
      </c>
      <c r="K15" s="81">
        <v>1593670.8908</v>
      </c>
      <c r="L15" s="81">
        <v>473504.2061</v>
      </c>
      <c r="M15" s="81">
        <v>409655.1573</v>
      </c>
      <c r="N15" s="76"/>
      <c r="O15" s="81">
        <v>228908.8587</v>
      </c>
      <c r="P15" s="81">
        <v>25527.6846</v>
      </c>
    </row>
    <row r="16" spans="1:16" ht="12.75">
      <c r="A16" s="81" t="s">
        <v>7</v>
      </c>
      <c r="B16" s="81">
        <v>8068898.9222</v>
      </c>
      <c r="C16" s="81">
        <v>5838394.0306</v>
      </c>
      <c r="D16" s="81">
        <v>2230504.8909</v>
      </c>
      <c r="E16" s="81">
        <v>889060.4864</v>
      </c>
      <c r="F16" s="81">
        <v>1341444.4045</v>
      </c>
      <c r="G16" s="81">
        <v>684407.1052</v>
      </c>
      <c r="H16" s="81">
        <v>9987391.9429</v>
      </c>
      <c r="I16" s="81">
        <v>6012539.9432</v>
      </c>
      <c r="J16" s="81">
        <v>1644963.2656</v>
      </c>
      <c r="K16" s="81">
        <v>4367576.6776</v>
      </c>
      <c r="L16" s="81">
        <v>1139092.6824</v>
      </c>
      <c r="M16" s="81">
        <v>773259.7303</v>
      </c>
      <c r="N16" s="76"/>
      <c r="O16" s="81">
        <v>705306.5805</v>
      </c>
      <c r="P16" s="81">
        <v>70746.3083</v>
      </c>
    </row>
    <row r="17" spans="1:16" ht="12.75">
      <c r="A17" s="81" t="s">
        <v>242</v>
      </c>
      <c r="B17" s="81">
        <v>5571898.7087</v>
      </c>
      <c r="C17" s="81">
        <v>4057358.3519</v>
      </c>
      <c r="D17" s="81">
        <v>1514540.3561</v>
      </c>
      <c r="E17" s="81">
        <v>642134.6633</v>
      </c>
      <c r="F17" s="81">
        <v>872405.6928</v>
      </c>
      <c r="G17" s="81">
        <v>912145.4905</v>
      </c>
      <c r="H17" s="81">
        <v>7513035.3883</v>
      </c>
      <c r="I17" s="81">
        <v>4364134.7082</v>
      </c>
      <c r="J17" s="81">
        <v>1174495.4138</v>
      </c>
      <c r="K17" s="81">
        <v>3189639.2944</v>
      </c>
      <c r="L17" s="81">
        <v>581028.8812</v>
      </c>
      <c r="M17" s="81">
        <v>499704.7259</v>
      </c>
      <c r="N17" s="76"/>
      <c r="O17" s="81">
        <v>539872.1702</v>
      </c>
      <c r="P17" s="81">
        <v>58036.5935</v>
      </c>
    </row>
    <row r="18" spans="1:16" ht="12.75">
      <c r="A18" s="81" t="s">
        <v>8</v>
      </c>
      <c r="B18" s="81">
        <v>1722086.0435</v>
      </c>
      <c r="C18" s="81">
        <v>1386583.2145</v>
      </c>
      <c r="D18" s="81">
        <v>335502.8285</v>
      </c>
      <c r="E18" s="81">
        <v>45182.2145</v>
      </c>
      <c r="F18" s="81">
        <v>290320.614</v>
      </c>
      <c r="G18" s="81">
        <v>103016.3939</v>
      </c>
      <c r="H18" s="81">
        <v>2031294.5909</v>
      </c>
      <c r="I18" s="81">
        <v>1042649.6471</v>
      </c>
      <c r="J18" s="81">
        <v>163657.639</v>
      </c>
      <c r="K18" s="81">
        <v>878992.0081</v>
      </c>
      <c r="L18" s="81">
        <v>496878.2319</v>
      </c>
      <c r="M18" s="81">
        <v>162397.2863</v>
      </c>
      <c r="N18" s="76"/>
      <c r="O18" s="81">
        <v>77052.9426</v>
      </c>
      <c r="P18" s="81">
        <v>22505.3428</v>
      </c>
    </row>
    <row r="19" spans="1:16" ht="12.75">
      <c r="A19" s="81" t="s">
        <v>31</v>
      </c>
      <c r="B19" s="81">
        <v>3836.7499</v>
      </c>
      <c r="C19" s="81">
        <v>3836.7499</v>
      </c>
      <c r="D19" s="81">
        <v>0</v>
      </c>
      <c r="E19" s="81">
        <v>0</v>
      </c>
      <c r="F19" s="81">
        <v>0</v>
      </c>
      <c r="G19" s="81">
        <v>108524.869</v>
      </c>
      <c r="H19" s="81">
        <v>428956.5619</v>
      </c>
      <c r="I19" s="81">
        <v>134622.8447</v>
      </c>
      <c r="J19" s="81">
        <v>4049.1</v>
      </c>
      <c r="K19" s="81">
        <v>130573.7447</v>
      </c>
      <c r="L19" s="81">
        <v>0</v>
      </c>
      <c r="M19" s="81">
        <v>77168.5255</v>
      </c>
      <c r="N19" s="76"/>
      <c r="O19" s="81">
        <v>0</v>
      </c>
      <c r="P19" s="81">
        <v>0</v>
      </c>
    </row>
    <row r="20" spans="1:16" ht="12.75">
      <c r="A20" s="81" t="s">
        <v>11</v>
      </c>
      <c r="B20" s="81">
        <v>358470.7703</v>
      </c>
      <c r="C20" s="81">
        <v>3712.1238</v>
      </c>
      <c r="D20" s="81">
        <v>354758.6462</v>
      </c>
      <c r="E20" s="81">
        <v>293184.2181</v>
      </c>
      <c r="F20" s="81">
        <v>61574.4281</v>
      </c>
      <c r="G20" s="81">
        <v>13512.7166</v>
      </c>
      <c r="H20" s="81">
        <v>424953.6362</v>
      </c>
      <c r="I20" s="81">
        <v>266265.9462</v>
      </c>
      <c r="J20" s="81">
        <v>10092.528</v>
      </c>
      <c r="K20" s="81">
        <v>256173.4182</v>
      </c>
      <c r="L20" s="81">
        <v>50820.0263</v>
      </c>
      <c r="M20" s="81">
        <v>57784.8187</v>
      </c>
      <c r="N20" s="76"/>
      <c r="O20" s="81">
        <v>0</v>
      </c>
      <c r="P20" s="81">
        <v>953.4207</v>
      </c>
    </row>
    <row r="21" spans="1:16" ht="12.75">
      <c r="A21" s="81" t="s">
        <v>24</v>
      </c>
      <c r="B21" s="81">
        <v>123130.9618</v>
      </c>
      <c r="C21" s="81">
        <v>123130.9615</v>
      </c>
      <c r="D21" s="81">
        <v>0</v>
      </c>
      <c r="E21" s="81">
        <v>0</v>
      </c>
      <c r="F21" s="81">
        <v>0</v>
      </c>
      <c r="G21" s="81">
        <v>11342.4886</v>
      </c>
      <c r="H21" s="81">
        <v>152377.7671</v>
      </c>
      <c r="I21" s="81">
        <v>102878.6485</v>
      </c>
      <c r="J21" s="81">
        <v>8013.8798</v>
      </c>
      <c r="K21" s="81">
        <v>94864.7687</v>
      </c>
      <c r="L21" s="81">
        <v>0</v>
      </c>
      <c r="M21" s="81">
        <v>15328.982</v>
      </c>
      <c r="N21" s="76"/>
      <c r="O21" s="81">
        <v>9540.657</v>
      </c>
      <c r="P21" s="81">
        <v>1230.5047</v>
      </c>
    </row>
    <row r="22" spans="1:16" ht="12.75">
      <c r="A22" s="81" t="s">
        <v>29</v>
      </c>
      <c r="B22" s="81">
        <v>152007.6605</v>
      </c>
      <c r="C22" s="81">
        <v>151943.9482</v>
      </c>
      <c r="D22" s="81">
        <v>63.712</v>
      </c>
      <c r="E22" s="81">
        <v>63.712</v>
      </c>
      <c r="F22" s="81">
        <v>0</v>
      </c>
      <c r="G22" s="81">
        <v>152364.8391</v>
      </c>
      <c r="H22" s="81">
        <v>425960.5512</v>
      </c>
      <c r="I22" s="81">
        <v>211885.3577</v>
      </c>
      <c r="J22" s="81">
        <v>6725.4552</v>
      </c>
      <c r="K22" s="81">
        <v>205159.9025</v>
      </c>
      <c r="L22" s="81">
        <v>0</v>
      </c>
      <c r="M22" s="81">
        <v>87489.3769</v>
      </c>
      <c r="N22" s="76"/>
      <c r="O22" s="81">
        <v>27034.56</v>
      </c>
      <c r="P22" s="81">
        <v>21.5098</v>
      </c>
    </row>
    <row r="23" spans="1:16" ht="12.75">
      <c r="A23" s="81" t="s">
        <v>9</v>
      </c>
      <c r="B23" s="81">
        <v>127588.5714</v>
      </c>
      <c r="C23" s="81">
        <v>126622.7799</v>
      </c>
      <c r="D23" s="81">
        <v>965.7912</v>
      </c>
      <c r="E23" s="81">
        <v>276.7163</v>
      </c>
      <c r="F23" s="81">
        <v>689.0749</v>
      </c>
      <c r="G23" s="81">
        <v>27084.9805</v>
      </c>
      <c r="H23" s="81">
        <v>189886.3691</v>
      </c>
      <c r="I23" s="81">
        <v>140667.6719</v>
      </c>
      <c r="J23" s="81">
        <v>17657.4165</v>
      </c>
      <c r="K23" s="81">
        <v>123010.2554</v>
      </c>
      <c r="L23" s="81">
        <v>2668.2435</v>
      </c>
      <c r="M23" s="81">
        <v>17481.6335</v>
      </c>
      <c r="N23" s="76"/>
      <c r="O23" s="81">
        <v>6881.9805</v>
      </c>
      <c r="P23" s="81">
        <v>2562.7946</v>
      </c>
    </row>
    <row r="24" spans="1:16" ht="12.75">
      <c r="A24" s="81" t="s">
        <v>26</v>
      </c>
      <c r="B24" s="81">
        <v>19494.1004</v>
      </c>
      <c r="C24" s="81">
        <v>19490.2663</v>
      </c>
      <c r="D24" s="81">
        <v>3.8337</v>
      </c>
      <c r="E24" s="81">
        <v>3.8337</v>
      </c>
      <c r="F24" s="81">
        <v>0</v>
      </c>
      <c r="G24" s="81">
        <v>31266.1496</v>
      </c>
      <c r="H24" s="81">
        <v>64304.4214</v>
      </c>
      <c r="I24" s="81">
        <v>27958.4088</v>
      </c>
      <c r="J24" s="81">
        <v>2635.1655</v>
      </c>
      <c r="K24" s="81">
        <v>25323.2433</v>
      </c>
      <c r="L24" s="81">
        <v>0</v>
      </c>
      <c r="M24" s="81">
        <v>8393.0622</v>
      </c>
      <c r="N24" s="76"/>
      <c r="O24" s="81">
        <v>436.3382</v>
      </c>
      <c r="P24" s="81">
        <v>198.985</v>
      </c>
    </row>
    <row r="25" spans="1:16" ht="12.75">
      <c r="A25" s="81" t="s">
        <v>249</v>
      </c>
      <c r="B25" s="81">
        <v>143527.5863</v>
      </c>
      <c r="C25" s="81">
        <v>193.3573</v>
      </c>
      <c r="D25" s="81">
        <v>143334.2287</v>
      </c>
      <c r="E25" s="81">
        <v>142263.5635</v>
      </c>
      <c r="F25" s="81">
        <v>1070.6652</v>
      </c>
      <c r="G25" s="81">
        <v>4444.4281</v>
      </c>
      <c r="H25" s="81">
        <v>164739.7502</v>
      </c>
      <c r="I25" s="81">
        <v>132149.6063</v>
      </c>
      <c r="J25" s="81">
        <v>2868.8879</v>
      </c>
      <c r="K25" s="81">
        <v>129280.7184</v>
      </c>
      <c r="L25" s="81">
        <v>1046.1128</v>
      </c>
      <c r="M25" s="81">
        <v>20483.6094</v>
      </c>
      <c r="N25" s="76"/>
      <c r="O25" s="81">
        <v>0</v>
      </c>
      <c r="P25" s="81">
        <v>424.5073</v>
      </c>
    </row>
    <row r="26" spans="1:16" ht="12.75">
      <c r="A26" s="81" t="s">
        <v>30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34892.5228</v>
      </c>
      <c r="H26" s="81">
        <v>116561.5857</v>
      </c>
      <c r="I26" s="81">
        <v>54185.787</v>
      </c>
      <c r="J26" s="81">
        <v>3148.23</v>
      </c>
      <c r="K26" s="81">
        <v>51037.557</v>
      </c>
      <c r="L26" s="81">
        <v>0</v>
      </c>
      <c r="M26" s="81">
        <v>15856.2509</v>
      </c>
      <c r="N26" s="76"/>
      <c r="O26" s="81">
        <v>0</v>
      </c>
      <c r="P26" s="81">
        <v>0</v>
      </c>
    </row>
    <row r="27" spans="1:16" ht="12.75">
      <c r="A27" s="81" t="s">
        <v>22</v>
      </c>
      <c r="B27" s="81">
        <v>157809.3751</v>
      </c>
      <c r="C27" s="81">
        <v>12544.5379</v>
      </c>
      <c r="D27" s="81">
        <v>145264.8368</v>
      </c>
      <c r="E27" s="81">
        <v>128472.8535</v>
      </c>
      <c r="F27" s="81">
        <v>16791.9833</v>
      </c>
      <c r="G27" s="81">
        <v>2993.8437</v>
      </c>
      <c r="H27" s="81">
        <v>187653.367</v>
      </c>
      <c r="I27" s="81">
        <v>138450.5658</v>
      </c>
      <c r="J27" s="81">
        <v>2033.1276</v>
      </c>
      <c r="K27" s="81">
        <v>136417.4382</v>
      </c>
      <c r="L27" s="81">
        <v>17452.7321</v>
      </c>
      <c r="M27" s="81">
        <v>20060.9239</v>
      </c>
      <c r="N27" s="76"/>
      <c r="O27" s="81">
        <v>0</v>
      </c>
      <c r="P27" s="81">
        <v>209.701</v>
      </c>
    </row>
    <row r="28" spans="1:16" ht="12.75">
      <c r="A28" s="81" t="s">
        <v>10</v>
      </c>
      <c r="B28" s="81">
        <v>10368621.4163</v>
      </c>
      <c r="C28" s="81">
        <v>6600959.6413</v>
      </c>
      <c r="D28" s="81">
        <v>3767661.7744</v>
      </c>
      <c r="E28" s="81">
        <v>1438844.7692</v>
      </c>
      <c r="F28" s="81">
        <v>2328817.0052</v>
      </c>
      <c r="G28" s="81">
        <v>1392997.4466</v>
      </c>
      <c r="H28" s="81">
        <v>13361342.5679</v>
      </c>
      <c r="I28" s="81">
        <v>8271963.2432</v>
      </c>
      <c r="J28" s="81">
        <v>1898024.5094</v>
      </c>
      <c r="K28" s="81">
        <v>6373938.7338</v>
      </c>
      <c r="L28" s="81">
        <v>1503817.5178</v>
      </c>
      <c r="M28" s="81">
        <v>1085874.2854</v>
      </c>
      <c r="N28" s="76"/>
      <c r="O28" s="81">
        <v>925170.8925</v>
      </c>
      <c r="P28" s="81">
        <v>99505.8464</v>
      </c>
    </row>
    <row r="29" spans="1:16" ht="12.75">
      <c r="A29" s="81" t="s">
        <v>32</v>
      </c>
      <c r="B29" s="81">
        <v>1313982.6047</v>
      </c>
      <c r="C29" s="81">
        <v>1198567.3603</v>
      </c>
      <c r="D29" s="81">
        <v>115415.2439</v>
      </c>
      <c r="E29" s="81">
        <v>25448.5443</v>
      </c>
      <c r="F29" s="81">
        <v>89966.6996</v>
      </c>
      <c r="G29" s="81">
        <v>276326.7502</v>
      </c>
      <c r="H29" s="81">
        <v>1839825.2952</v>
      </c>
      <c r="I29" s="81">
        <v>1118130.5312</v>
      </c>
      <c r="J29" s="81">
        <v>103805.7177</v>
      </c>
      <c r="K29" s="81">
        <v>1014324.8135</v>
      </c>
      <c r="L29" s="81">
        <v>200493.378</v>
      </c>
      <c r="M29" s="81">
        <v>150629.2003</v>
      </c>
      <c r="N29" s="76"/>
      <c r="O29" s="81">
        <v>82067.2483</v>
      </c>
      <c r="P29" s="81">
        <v>8770.2643</v>
      </c>
    </row>
    <row r="30" spans="1:16" ht="12.75">
      <c r="A30" s="82" t="s">
        <v>21</v>
      </c>
      <c r="B30" s="82">
        <v>1172510.1692</v>
      </c>
      <c r="C30" s="82">
        <v>670852.8087</v>
      </c>
      <c r="D30" s="82">
        <v>501657.3601</v>
      </c>
      <c r="E30" s="82">
        <v>132850.5813</v>
      </c>
      <c r="F30" s="82">
        <v>368806.7788</v>
      </c>
      <c r="G30" s="82">
        <v>206426.3476</v>
      </c>
      <c r="H30" s="82">
        <v>1592215.5017</v>
      </c>
      <c r="I30" s="82">
        <v>1029706.0809</v>
      </c>
      <c r="J30" s="82">
        <v>202876.3828</v>
      </c>
      <c r="K30" s="82">
        <v>826829.6981</v>
      </c>
      <c r="L30" s="82">
        <v>156731.5171</v>
      </c>
      <c r="M30" s="82">
        <v>141899.9489</v>
      </c>
      <c r="N30" s="76"/>
      <c r="O30" s="82">
        <v>69753.0755</v>
      </c>
      <c r="P30" s="82">
        <v>20974.7872</v>
      </c>
    </row>
    <row r="31" ht="12.75">
      <c r="N31" s="76"/>
    </row>
    <row r="32" spans="1:16" ht="12.75">
      <c r="A32" s="78" t="s">
        <v>137</v>
      </c>
      <c r="B32" s="78">
        <v>6084513.8813</v>
      </c>
      <c r="C32" s="78">
        <v>2990616.4238</v>
      </c>
      <c r="D32" s="78">
        <v>3093897.4571</v>
      </c>
      <c r="E32" s="78">
        <v>637378.1759</v>
      </c>
      <c r="F32" s="78">
        <v>2456519.2812</v>
      </c>
      <c r="G32" s="78">
        <v>3159649.4536</v>
      </c>
      <c r="H32" s="78">
        <v>10221449.3696</v>
      </c>
      <c r="I32" s="78">
        <v>6166859.3862</v>
      </c>
      <c r="J32" s="78">
        <v>1511432.4604</v>
      </c>
      <c r="K32" s="78">
        <v>4655426.9258</v>
      </c>
      <c r="L32" s="78">
        <v>2323510.4048</v>
      </c>
      <c r="M32" s="78">
        <v>447932.9266</v>
      </c>
      <c r="N32" s="83"/>
      <c r="O32" s="78">
        <v>181870.8829</v>
      </c>
      <c r="P32" s="78">
        <v>43286.0074</v>
      </c>
    </row>
    <row r="33" ht="12.75">
      <c r="N33" s="76"/>
    </row>
    <row r="34" spans="1:16" s="49" customFormat="1" ht="12.75">
      <c r="A34" s="78" t="s">
        <v>23</v>
      </c>
      <c r="B34" s="78">
        <v>2071378.5483</v>
      </c>
      <c r="C34" s="78">
        <v>1312009.3037</v>
      </c>
      <c r="D34" s="78">
        <v>759369.2441</v>
      </c>
      <c r="E34" s="78">
        <v>490860.5094</v>
      </c>
      <c r="F34" s="78">
        <v>268508.7347</v>
      </c>
      <c r="G34" s="78">
        <v>612328.2399</v>
      </c>
      <c r="H34" s="78">
        <v>3633785.9823</v>
      </c>
      <c r="I34" s="78">
        <v>2058637.4174</v>
      </c>
      <c r="J34" s="78">
        <v>574117.0556</v>
      </c>
      <c r="K34" s="78">
        <v>1484520.3618</v>
      </c>
      <c r="L34" s="78">
        <v>247088.2869</v>
      </c>
      <c r="M34" s="78">
        <v>626904.4713</v>
      </c>
      <c r="N34" s="84"/>
      <c r="O34" s="78">
        <v>99974.63</v>
      </c>
      <c r="P34" s="78">
        <v>16873.9525</v>
      </c>
    </row>
    <row r="35" spans="1:16" ht="12.75">
      <c r="A35" s="81" t="s">
        <v>34</v>
      </c>
      <c r="B35" s="81">
        <v>1080629.2143</v>
      </c>
      <c r="C35" s="81">
        <v>663969.236</v>
      </c>
      <c r="D35" s="81">
        <v>416659.9778</v>
      </c>
      <c r="E35" s="81">
        <v>186178.6125</v>
      </c>
      <c r="F35" s="81">
        <v>230481.3653</v>
      </c>
      <c r="G35" s="81">
        <v>132266.5515</v>
      </c>
      <c r="H35" s="81">
        <v>1371656.3589</v>
      </c>
      <c r="I35" s="81">
        <v>832151.0407</v>
      </c>
      <c r="J35" s="81">
        <v>169647.6581</v>
      </c>
      <c r="K35" s="81">
        <v>662503.3826</v>
      </c>
      <c r="L35" s="81">
        <v>198236.9372</v>
      </c>
      <c r="M35" s="81">
        <v>165202.5011</v>
      </c>
      <c r="N35" s="76"/>
      <c r="O35" s="81">
        <v>53020.3957</v>
      </c>
      <c r="P35" s="81">
        <v>12193.0112</v>
      </c>
    </row>
    <row r="36" spans="1:16" ht="12.75">
      <c r="A36" s="81" t="s">
        <v>12</v>
      </c>
      <c r="B36" s="81">
        <v>860809.4991</v>
      </c>
      <c r="C36" s="81">
        <v>518158.789</v>
      </c>
      <c r="D36" s="81">
        <v>342650.7099</v>
      </c>
      <c r="E36" s="81">
        <v>304623.3405</v>
      </c>
      <c r="F36" s="81">
        <v>38027.3694</v>
      </c>
      <c r="G36" s="81">
        <v>312484.2685</v>
      </c>
      <c r="H36" s="81">
        <v>1856638.9802</v>
      </c>
      <c r="I36" s="81">
        <v>1121888.5838</v>
      </c>
      <c r="J36" s="81">
        <v>371400.3608</v>
      </c>
      <c r="K36" s="81">
        <v>750488.223</v>
      </c>
      <c r="L36" s="81">
        <v>48851.3496</v>
      </c>
      <c r="M36" s="81">
        <v>264977.1721</v>
      </c>
      <c r="N36" s="76"/>
      <c r="O36" s="81">
        <v>39650.7641</v>
      </c>
      <c r="P36" s="81">
        <v>4662.6396</v>
      </c>
    </row>
    <row r="37" spans="1:16" ht="12.75">
      <c r="A37" s="81" t="s">
        <v>14</v>
      </c>
      <c r="B37" s="81">
        <v>12444.792</v>
      </c>
      <c r="C37" s="81">
        <v>12402.6692</v>
      </c>
      <c r="D37" s="81">
        <v>42.1224</v>
      </c>
      <c r="E37" s="81">
        <v>42.1224</v>
      </c>
      <c r="F37" s="81">
        <v>0</v>
      </c>
      <c r="G37" s="81">
        <v>45.1677</v>
      </c>
      <c r="H37" s="81">
        <v>18201.8901</v>
      </c>
      <c r="I37" s="81">
        <v>2320.1312</v>
      </c>
      <c r="J37" s="81">
        <v>1186.083</v>
      </c>
      <c r="K37" s="81">
        <v>1134.0482</v>
      </c>
      <c r="L37" s="81">
        <v>0</v>
      </c>
      <c r="M37" s="81">
        <v>13604.0877</v>
      </c>
      <c r="N37" s="76"/>
      <c r="O37" s="81">
        <v>1692.3737</v>
      </c>
      <c r="P37" s="81">
        <v>16.6895</v>
      </c>
    </row>
    <row r="38" spans="1:16" ht="12.75">
      <c r="A38" s="81" t="s">
        <v>13</v>
      </c>
      <c r="B38" s="81">
        <v>32270.6434</v>
      </c>
      <c r="C38" s="81">
        <v>32254.2095</v>
      </c>
      <c r="D38" s="81">
        <v>16.4336</v>
      </c>
      <c r="E38" s="81">
        <v>16.4336</v>
      </c>
      <c r="F38" s="81">
        <v>0</v>
      </c>
      <c r="G38" s="81">
        <v>0.8006</v>
      </c>
      <c r="H38" s="81">
        <v>34448.5123</v>
      </c>
      <c r="I38" s="81">
        <v>4171.8797</v>
      </c>
      <c r="J38" s="81">
        <v>1026.724</v>
      </c>
      <c r="K38" s="81">
        <v>3145.1557</v>
      </c>
      <c r="L38" s="81">
        <v>0</v>
      </c>
      <c r="M38" s="81">
        <v>19709.0357</v>
      </c>
      <c r="N38" s="76"/>
      <c r="O38" s="81">
        <v>4648.2771</v>
      </c>
      <c r="P38" s="81">
        <v>1.612</v>
      </c>
    </row>
    <row r="39" spans="1:16" ht="12.75">
      <c r="A39" s="81" t="s">
        <v>256</v>
      </c>
      <c r="B39" s="81">
        <v>37224.3993</v>
      </c>
      <c r="C39" s="81">
        <v>37224.3993</v>
      </c>
      <c r="D39" s="81">
        <v>0</v>
      </c>
      <c r="E39" s="81">
        <v>0</v>
      </c>
      <c r="F39" s="81">
        <v>0</v>
      </c>
      <c r="G39" s="81">
        <v>18721.1774</v>
      </c>
      <c r="H39" s="81">
        <v>66396.0507</v>
      </c>
      <c r="I39" s="81">
        <v>47521.3682</v>
      </c>
      <c r="J39" s="81">
        <v>15714.1497</v>
      </c>
      <c r="K39" s="81">
        <v>31807.2185</v>
      </c>
      <c r="L39" s="81">
        <v>0</v>
      </c>
      <c r="M39" s="81">
        <v>13848.3049</v>
      </c>
      <c r="N39" s="76"/>
      <c r="O39" s="81">
        <v>962.8193</v>
      </c>
      <c r="P39" s="81">
        <v>0</v>
      </c>
    </row>
    <row r="40" spans="1:16" ht="12.75">
      <c r="A40" s="82" t="s">
        <v>33</v>
      </c>
      <c r="B40" s="82">
        <v>48000</v>
      </c>
      <c r="C40" s="82">
        <v>48000</v>
      </c>
      <c r="D40" s="82">
        <v>0</v>
      </c>
      <c r="E40" s="82">
        <v>0</v>
      </c>
      <c r="F40" s="82">
        <v>0</v>
      </c>
      <c r="G40" s="82">
        <v>148810.2739</v>
      </c>
      <c r="H40" s="82">
        <v>286444.1898</v>
      </c>
      <c r="I40" s="82">
        <v>50584.4134</v>
      </c>
      <c r="J40" s="82">
        <v>15142.0797</v>
      </c>
      <c r="K40" s="82">
        <v>35442.3337</v>
      </c>
      <c r="L40" s="82">
        <v>0</v>
      </c>
      <c r="M40" s="82">
        <v>149563.3695</v>
      </c>
      <c r="N40" s="76"/>
      <c r="O40" s="82">
        <v>0</v>
      </c>
      <c r="P40" s="82">
        <v>0</v>
      </c>
    </row>
    <row r="41" spans="10:16" ht="12.75">
      <c r="J41" s="76"/>
      <c r="K41" s="76"/>
      <c r="L41" s="76"/>
      <c r="M41" s="76"/>
      <c r="N41" s="76"/>
      <c r="O41" s="76"/>
      <c r="P41" s="76"/>
    </row>
    <row r="42" spans="1:16" s="49" customFormat="1" ht="12.75">
      <c r="A42" s="77" t="s">
        <v>15</v>
      </c>
      <c r="B42" s="78">
        <v>45238778.0138</v>
      </c>
      <c r="C42" s="78">
        <v>30350287.786</v>
      </c>
      <c r="D42" s="78">
        <v>14888490.2272</v>
      </c>
      <c r="E42" s="78">
        <v>5571002.5224</v>
      </c>
      <c r="F42" s="78">
        <v>9317487.7048</v>
      </c>
      <c r="G42" s="78">
        <v>8629526.2705</v>
      </c>
      <c r="H42" s="78">
        <v>61985134.7567</v>
      </c>
      <c r="I42" s="78">
        <v>37140850.947</v>
      </c>
      <c r="J42" s="78">
        <v>8080674.6426</v>
      </c>
      <c r="K42" s="78">
        <v>29060176.3044</v>
      </c>
      <c r="L42" s="78">
        <v>7637985.513</v>
      </c>
      <c r="M42" s="78">
        <v>5137600.1834</v>
      </c>
      <c r="N42" s="48"/>
      <c r="O42" s="78">
        <v>3425162.4587</v>
      </c>
      <c r="P42" s="78">
        <v>418189.1245</v>
      </c>
    </row>
    <row r="43" spans="1:16" s="49" customFormat="1" ht="12.75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48"/>
      <c r="O43" s="86"/>
      <c r="P43" s="86"/>
    </row>
    <row r="44" ht="12.75">
      <c r="A44" s="45"/>
    </row>
    <row r="45" ht="12.75">
      <c r="N45" s="49"/>
    </row>
    <row r="46" spans="1:14" ht="12.75">
      <c r="A46" s="3" t="s">
        <v>102</v>
      </c>
      <c r="N46" s="49"/>
    </row>
    <row r="47" ht="12.75">
      <c r="N47" s="49"/>
    </row>
    <row r="48" ht="12.75">
      <c r="N48" s="49"/>
    </row>
    <row r="49" ht="12.75">
      <c r="N49" s="49"/>
    </row>
    <row r="50" ht="12.75">
      <c r="N50" s="49"/>
    </row>
    <row r="51" ht="12.75">
      <c r="N51" s="49"/>
    </row>
    <row r="52" ht="12.75">
      <c r="N52" s="49"/>
    </row>
    <row r="53" ht="12.75">
      <c r="N53" s="49"/>
    </row>
    <row r="54" ht="12.75">
      <c r="N54" s="49"/>
    </row>
    <row r="55" ht="12.75">
      <c r="N55" s="49"/>
    </row>
    <row r="56" ht="12.75">
      <c r="N56" s="49"/>
    </row>
    <row r="58" spans="1:13" ht="12.75">
      <c r="A58" s="47"/>
      <c r="B58" s="49"/>
      <c r="C58" s="49"/>
      <c r="D58" s="49"/>
      <c r="E58" s="49"/>
      <c r="F58" s="49"/>
      <c r="G58" s="49"/>
      <c r="H58" s="49"/>
      <c r="I58" s="49"/>
      <c r="J58" s="48"/>
      <c r="K58" s="49"/>
      <c r="L58" s="49"/>
      <c r="M58" s="49"/>
    </row>
    <row r="59" spans="1:13" ht="12.75">
      <c r="A59" s="49" t="s">
        <v>17</v>
      </c>
      <c r="B59" s="49"/>
      <c r="C59" s="49"/>
      <c r="D59" s="49"/>
      <c r="E59" s="49"/>
      <c r="F59" s="49"/>
      <c r="G59" s="49"/>
      <c r="H59" s="49"/>
      <c r="I59" s="49"/>
      <c r="J59" s="48"/>
      <c r="K59" s="49"/>
      <c r="L59" s="49"/>
      <c r="M59" s="49"/>
    </row>
    <row r="60" spans="1:13" ht="12.75">
      <c r="A60" s="49" t="s">
        <v>18</v>
      </c>
      <c r="B60" s="49"/>
      <c r="C60" s="49"/>
      <c r="D60" s="49"/>
      <c r="E60" s="49"/>
      <c r="F60" s="49"/>
      <c r="G60" s="49"/>
      <c r="H60" s="49"/>
      <c r="I60" s="49"/>
      <c r="J60" s="48"/>
      <c r="K60" s="49"/>
      <c r="L60" s="49"/>
      <c r="M60" s="49"/>
    </row>
    <row r="61" spans="1:13" ht="12.75">
      <c r="A61" s="49"/>
      <c r="B61" s="49"/>
      <c r="C61" s="49"/>
      <c r="D61" s="49"/>
      <c r="E61" s="49"/>
      <c r="F61" s="49"/>
      <c r="G61" s="49"/>
      <c r="H61" s="49"/>
      <c r="I61" s="49"/>
      <c r="J61" s="48"/>
      <c r="K61" s="49"/>
      <c r="L61" s="49"/>
      <c r="M61" s="49"/>
    </row>
    <row r="62" spans="1:13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3" ht="12.75">
      <c r="A63" s="47" t="s">
        <v>19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3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ht="12.75">
      <c r="A65" s="49" t="s">
        <v>18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1:13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1:13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9" spans="1:13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ht="12.75">
      <c r="A70" s="49"/>
      <c r="M70" s="49"/>
    </row>
    <row r="71" spans="1:13" ht="12.75">
      <c r="A71" s="49"/>
      <c r="M71" s="49"/>
    </row>
  </sheetData>
  <mergeCells count="5">
    <mergeCell ref="D8:F8"/>
    <mergeCell ref="A4:P4"/>
    <mergeCell ref="A5:P5"/>
    <mergeCell ref="B7:F7"/>
    <mergeCell ref="I7:K7"/>
  </mergeCells>
  <hyperlinks>
    <hyperlink ref="P1" location="Indice!A1" display="Volver"/>
  </hyperlinks>
  <printOptions horizontalCentered="1" verticalCentered="1"/>
  <pageMargins left="0.17" right="0.17" top="0.35" bottom="0.28" header="0" footer="0"/>
  <pageSetup fitToHeight="1" fitToWidth="1" horizontalDpi="600" verticalDpi="600" orientation="landscape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workbookViewId="0" topLeftCell="A22">
      <selection activeCell="A1" sqref="A1"/>
    </sheetView>
  </sheetViews>
  <sheetFormatPr defaultColWidth="11.00390625" defaultRowHeight="12.75"/>
  <cols>
    <col min="1" max="1" width="37.50390625" style="3" bestFit="1" customWidth="1"/>
    <col min="2" max="2" width="17.125" style="3" bestFit="1" customWidth="1"/>
    <col min="3" max="3" width="13.375" style="3" bestFit="1" customWidth="1"/>
    <col min="4" max="4" width="16.625" style="3" bestFit="1" customWidth="1"/>
    <col min="5" max="5" width="18.375" style="3" bestFit="1" customWidth="1"/>
    <col min="6" max="7" width="13.875" style="3" bestFit="1" customWidth="1"/>
    <col min="8" max="8" width="13.125" style="3" bestFit="1" customWidth="1"/>
    <col min="9" max="9" width="13.875" style="3" bestFit="1" customWidth="1"/>
    <col min="10" max="10" width="16.50390625" style="3" bestFit="1" customWidth="1"/>
    <col min="11" max="11" width="19.00390625" style="3" bestFit="1" customWidth="1"/>
    <col min="12" max="12" width="10.00390625" style="3" bestFit="1" customWidth="1"/>
    <col min="13" max="14" width="11.875" style="3" bestFit="1" customWidth="1"/>
    <col min="15" max="15" width="11.625" style="3" bestFit="1" customWidth="1"/>
    <col min="16" max="16" width="4.125" style="3" customWidth="1"/>
    <col min="17" max="17" width="12.50390625" style="3" bestFit="1" customWidth="1"/>
    <col min="18" max="16384" width="12.00390625" style="3" customWidth="1"/>
  </cols>
  <sheetData>
    <row r="1" spans="1:17" ht="12.75">
      <c r="A1" s="106" t="s">
        <v>140</v>
      </c>
      <c r="Q1" s="110" t="s">
        <v>147</v>
      </c>
    </row>
    <row r="2" ht="12.75">
      <c r="A2" s="106" t="s">
        <v>141</v>
      </c>
    </row>
    <row r="3" spans="1:17" ht="18">
      <c r="A3" s="185" t="s">
        <v>254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spans="1:16" ht="12.75">
      <c r="A4" s="186" t="s">
        <v>90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6" ht="12.7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7" ht="12.75">
      <c r="A6" s="68"/>
      <c r="B6" s="68" t="s">
        <v>58</v>
      </c>
      <c r="C6" s="68" t="s">
        <v>38</v>
      </c>
      <c r="D6" s="68" t="s">
        <v>41</v>
      </c>
      <c r="E6" s="87" t="s">
        <v>42</v>
      </c>
      <c r="F6" s="114" t="s">
        <v>43</v>
      </c>
      <c r="G6" s="68" t="s">
        <v>46</v>
      </c>
      <c r="H6" s="68" t="s">
        <v>49</v>
      </c>
      <c r="I6" s="114" t="s">
        <v>43</v>
      </c>
      <c r="J6" s="68" t="s">
        <v>224</v>
      </c>
      <c r="K6" s="114" t="s">
        <v>225</v>
      </c>
      <c r="L6" s="68" t="s">
        <v>42</v>
      </c>
      <c r="M6" s="114" t="s">
        <v>43</v>
      </c>
      <c r="N6" s="68"/>
      <c r="O6" s="114" t="s">
        <v>43</v>
      </c>
      <c r="P6" s="88"/>
      <c r="Q6" s="68" t="s">
        <v>126</v>
      </c>
    </row>
    <row r="7" spans="1:17" ht="12.75">
      <c r="A7" s="71" t="s">
        <v>20</v>
      </c>
      <c r="B7" s="71" t="s">
        <v>56</v>
      </c>
      <c r="C7" s="71" t="s">
        <v>39</v>
      </c>
      <c r="D7" s="71" t="s">
        <v>226</v>
      </c>
      <c r="E7" s="66" t="s">
        <v>230</v>
      </c>
      <c r="F7" s="151" t="s">
        <v>44</v>
      </c>
      <c r="G7" s="71" t="s">
        <v>47</v>
      </c>
      <c r="H7" s="71" t="s">
        <v>50</v>
      </c>
      <c r="I7" s="151" t="s">
        <v>44</v>
      </c>
      <c r="J7" s="71" t="s">
        <v>97</v>
      </c>
      <c r="K7" s="151" t="s">
        <v>227</v>
      </c>
      <c r="L7" s="71" t="s">
        <v>53</v>
      </c>
      <c r="M7" s="151" t="s">
        <v>54</v>
      </c>
      <c r="N7" s="71" t="s">
        <v>93</v>
      </c>
      <c r="O7" s="151" t="s">
        <v>4</v>
      </c>
      <c r="P7" s="88"/>
      <c r="Q7" s="71" t="s">
        <v>127</v>
      </c>
    </row>
    <row r="8" spans="1:17" ht="12.75">
      <c r="A8" s="73"/>
      <c r="B8" s="73" t="s">
        <v>57</v>
      </c>
      <c r="C8" s="73"/>
      <c r="D8" s="73" t="s">
        <v>40</v>
      </c>
      <c r="E8" s="74" t="s">
        <v>231</v>
      </c>
      <c r="F8" s="152" t="s">
        <v>45</v>
      </c>
      <c r="G8" s="73" t="s">
        <v>44</v>
      </c>
      <c r="H8" s="73"/>
      <c r="I8" s="152" t="s">
        <v>51</v>
      </c>
      <c r="J8" s="73" t="s">
        <v>228</v>
      </c>
      <c r="K8" s="152" t="s">
        <v>229</v>
      </c>
      <c r="L8" s="73" t="s">
        <v>52</v>
      </c>
      <c r="M8" s="152" t="s">
        <v>55</v>
      </c>
      <c r="N8" s="73"/>
      <c r="O8" s="152"/>
      <c r="P8" s="88"/>
      <c r="Q8" s="73" t="s">
        <v>128</v>
      </c>
    </row>
    <row r="9" spans="3:15" ht="12.75">
      <c r="C9" s="76"/>
      <c r="D9" s="76"/>
      <c r="E9" s="76"/>
      <c r="F9" s="89"/>
      <c r="G9" s="76"/>
      <c r="H9" s="76"/>
      <c r="I9" s="89"/>
      <c r="J9" s="76"/>
      <c r="K9" s="89"/>
      <c r="L9" s="76"/>
      <c r="M9" s="89"/>
      <c r="N9" s="89"/>
      <c r="O9" s="63"/>
    </row>
    <row r="10" spans="1:17" ht="12.75">
      <c r="A10" s="77" t="s">
        <v>16</v>
      </c>
      <c r="B10" s="78">
        <v>127337.0035</v>
      </c>
      <c r="C10" s="78">
        <v>37164.0819</v>
      </c>
      <c r="D10" s="78">
        <v>11982.2347</v>
      </c>
      <c r="E10" s="78">
        <v>18955.7697</v>
      </c>
      <c r="F10" s="94">
        <v>195439.0898</v>
      </c>
      <c r="G10" s="78">
        <v>86953.3726</v>
      </c>
      <c r="H10" s="78">
        <v>37243.0171</v>
      </c>
      <c r="I10" s="94">
        <v>71242.7001</v>
      </c>
      <c r="J10" s="78">
        <v>10984.6113</v>
      </c>
      <c r="K10" s="94">
        <v>82227.3115</v>
      </c>
      <c r="L10" s="78">
        <v>-6225.54000000004</v>
      </c>
      <c r="M10" s="94">
        <v>76001.7714</v>
      </c>
      <c r="N10" s="78">
        <v>10236.0354</v>
      </c>
      <c r="O10" s="94">
        <v>65765.7359</v>
      </c>
      <c r="P10" s="88"/>
      <c r="Q10" s="78">
        <v>27528.2086</v>
      </c>
    </row>
    <row r="11" spans="1:17" ht="12.75">
      <c r="A11" s="80" t="s">
        <v>28</v>
      </c>
      <c r="B11" s="80">
        <v>1459.8544</v>
      </c>
      <c r="C11" s="80">
        <v>658.7843</v>
      </c>
      <c r="D11" s="80">
        <v>1.0656</v>
      </c>
      <c r="E11" s="80">
        <v>995.469699999973</v>
      </c>
      <c r="F11" s="90">
        <v>3115.17409999998</v>
      </c>
      <c r="G11" s="80">
        <v>745.5779</v>
      </c>
      <c r="H11" s="80">
        <v>103.5791</v>
      </c>
      <c r="I11" s="90">
        <v>2266.01709999998</v>
      </c>
      <c r="J11" s="80">
        <v>0</v>
      </c>
      <c r="K11" s="90">
        <v>2266.0173</v>
      </c>
      <c r="L11" s="80">
        <v>13.6471</v>
      </c>
      <c r="M11" s="90">
        <v>2279.6644</v>
      </c>
      <c r="N11" s="80">
        <v>142.1334</v>
      </c>
      <c r="O11" s="90">
        <v>2137.5309</v>
      </c>
      <c r="Q11" s="80">
        <v>418.2947</v>
      </c>
    </row>
    <row r="12" spans="1:17" ht="12.75">
      <c r="A12" s="81" t="s">
        <v>25</v>
      </c>
      <c r="B12" s="81">
        <v>6419.35129999996</v>
      </c>
      <c r="C12" s="81">
        <v>2863.0618</v>
      </c>
      <c r="D12" s="81">
        <v>2209.4183</v>
      </c>
      <c r="E12" s="81">
        <v>1323.0327</v>
      </c>
      <c r="F12" s="91">
        <v>12814.8641</v>
      </c>
      <c r="G12" s="81">
        <v>6673.2993</v>
      </c>
      <c r="H12" s="81">
        <v>2725.8784</v>
      </c>
      <c r="I12" s="91">
        <v>3415.68639999996</v>
      </c>
      <c r="J12" s="81">
        <v>958.4205</v>
      </c>
      <c r="K12" s="91">
        <v>4374.1069</v>
      </c>
      <c r="L12" s="81">
        <v>-1429.98350000003</v>
      </c>
      <c r="M12" s="91">
        <v>2944.1233</v>
      </c>
      <c r="N12" s="81">
        <v>338</v>
      </c>
      <c r="O12" s="91">
        <v>2606.1233</v>
      </c>
      <c r="Q12" s="81">
        <v>3203.3503</v>
      </c>
    </row>
    <row r="13" spans="1:17" ht="12.75">
      <c r="A13" s="81" t="s">
        <v>5</v>
      </c>
      <c r="B13" s="81">
        <v>1525.4924</v>
      </c>
      <c r="C13" s="81">
        <v>696.8994</v>
      </c>
      <c r="D13" s="81">
        <v>29.6104</v>
      </c>
      <c r="E13" s="81">
        <v>1822.1076</v>
      </c>
      <c r="F13" s="91">
        <v>4074.1098</v>
      </c>
      <c r="G13" s="81">
        <v>2184.7153</v>
      </c>
      <c r="H13" s="81">
        <v>144.1878</v>
      </c>
      <c r="I13" s="91">
        <v>1745.20670000001</v>
      </c>
      <c r="J13" s="81">
        <v>527.3793</v>
      </c>
      <c r="K13" s="91">
        <v>2272.5861</v>
      </c>
      <c r="L13" s="81">
        <v>65.8517</v>
      </c>
      <c r="M13" s="91">
        <v>2338.4378</v>
      </c>
      <c r="N13" s="81">
        <v>372.9137</v>
      </c>
      <c r="O13" s="91">
        <v>1965.5241</v>
      </c>
      <c r="Q13" s="81">
        <v>160.1141</v>
      </c>
    </row>
    <row r="14" spans="1:17" ht="12.75">
      <c r="A14" s="81" t="s">
        <v>6</v>
      </c>
      <c r="B14" s="81">
        <v>6431.72069999999</v>
      </c>
      <c r="C14" s="81">
        <v>1798.8141</v>
      </c>
      <c r="D14" s="81">
        <v>712.1489</v>
      </c>
      <c r="E14" s="81">
        <v>511.503599999957</v>
      </c>
      <c r="F14" s="91">
        <v>9454.18729999997</v>
      </c>
      <c r="G14" s="81">
        <v>4397.6901</v>
      </c>
      <c r="H14" s="81">
        <v>1855.4989</v>
      </c>
      <c r="I14" s="91">
        <v>3200.99829999997</v>
      </c>
      <c r="J14" s="81">
        <v>421.7122</v>
      </c>
      <c r="K14" s="91">
        <v>3622.7105</v>
      </c>
      <c r="L14" s="81">
        <v>-41.0325000000303</v>
      </c>
      <c r="M14" s="91">
        <v>3581.678</v>
      </c>
      <c r="N14" s="81">
        <v>537.1941</v>
      </c>
      <c r="O14" s="91">
        <v>3044.4838</v>
      </c>
      <c r="Q14" s="81">
        <v>2022.8088</v>
      </c>
    </row>
    <row r="15" spans="1:17" ht="12.75">
      <c r="A15" s="81" t="s">
        <v>7</v>
      </c>
      <c r="B15" s="81">
        <v>24306.1534</v>
      </c>
      <c r="C15" s="81">
        <v>8732.5066</v>
      </c>
      <c r="D15" s="81">
        <v>1601.9447</v>
      </c>
      <c r="E15" s="81">
        <v>2532.6373</v>
      </c>
      <c r="F15" s="91">
        <v>37173.2419999999</v>
      </c>
      <c r="G15" s="81">
        <v>18548.2936</v>
      </c>
      <c r="H15" s="81">
        <v>4381.2655</v>
      </c>
      <c r="I15" s="91">
        <v>14243.6828999999</v>
      </c>
      <c r="J15" s="81">
        <v>2133.59329999999</v>
      </c>
      <c r="K15" s="91">
        <v>16377.2763</v>
      </c>
      <c r="L15" s="81">
        <v>-1092.72600000002</v>
      </c>
      <c r="M15" s="91">
        <v>15284.5502</v>
      </c>
      <c r="N15" s="81">
        <v>1425.6968</v>
      </c>
      <c r="O15" s="91">
        <v>13858.8533</v>
      </c>
      <c r="Q15" s="81">
        <v>4393.2195</v>
      </c>
    </row>
    <row r="16" spans="1:17" ht="12.75">
      <c r="A16" s="81" t="s">
        <v>242</v>
      </c>
      <c r="B16" s="81">
        <v>19842.3287</v>
      </c>
      <c r="C16" s="81">
        <v>4411.9423</v>
      </c>
      <c r="D16" s="81">
        <v>3023.5723</v>
      </c>
      <c r="E16" s="81">
        <v>2555.7192</v>
      </c>
      <c r="F16" s="91">
        <v>29833.5626</v>
      </c>
      <c r="G16" s="81">
        <v>14533.1894</v>
      </c>
      <c r="H16" s="81">
        <v>5289.9971</v>
      </c>
      <c r="I16" s="91">
        <v>10010.3761</v>
      </c>
      <c r="J16" s="81">
        <v>1852.6137</v>
      </c>
      <c r="K16" s="91">
        <v>11862.99</v>
      </c>
      <c r="L16" s="81">
        <v>-515.716500000039</v>
      </c>
      <c r="M16" s="91">
        <v>11347.2735</v>
      </c>
      <c r="N16" s="81">
        <v>1804.3424</v>
      </c>
      <c r="O16" s="91">
        <v>9542.931</v>
      </c>
      <c r="Q16" s="81">
        <v>2279.5736</v>
      </c>
    </row>
    <row r="17" spans="1:17" ht="12.75">
      <c r="A17" s="81" t="s">
        <v>8</v>
      </c>
      <c r="B17" s="81">
        <v>6081.9067</v>
      </c>
      <c r="C17" s="81">
        <v>1634.6933</v>
      </c>
      <c r="D17" s="81">
        <v>333.099</v>
      </c>
      <c r="E17" s="81">
        <v>325.4449</v>
      </c>
      <c r="F17" s="91">
        <v>8375.14390000001</v>
      </c>
      <c r="G17" s="81">
        <v>3867.5807</v>
      </c>
      <c r="H17" s="81">
        <v>2376.8365</v>
      </c>
      <c r="I17" s="91">
        <v>2130.72670000001</v>
      </c>
      <c r="J17" s="81">
        <v>17.5996</v>
      </c>
      <c r="K17" s="91">
        <v>2148.3266</v>
      </c>
      <c r="L17" s="81">
        <v>-238.187200000044</v>
      </c>
      <c r="M17" s="91">
        <v>1910.1392</v>
      </c>
      <c r="N17" s="81">
        <v>403.5259</v>
      </c>
      <c r="O17" s="91">
        <v>1506.6132</v>
      </c>
      <c r="Q17" s="81">
        <v>1036.6761</v>
      </c>
    </row>
    <row r="18" spans="1:17" ht="12.75">
      <c r="A18" s="81" t="s">
        <v>31</v>
      </c>
      <c r="B18" s="81">
        <v>1316.9159</v>
      </c>
      <c r="C18" s="81">
        <v>-32.2958000000217</v>
      </c>
      <c r="D18" s="81">
        <v>0</v>
      </c>
      <c r="E18" s="81">
        <v>2145.3563</v>
      </c>
      <c r="F18" s="91">
        <v>3429.97639999998</v>
      </c>
      <c r="G18" s="81">
        <v>231.7038</v>
      </c>
      <c r="H18" s="81">
        <v>-37.9036000000197</v>
      </c>
      <c r="I18" s="91">
        <v>3236.1762</v>
      </c>
      <c r="J18" s="81">
        <v>0</v>
      </c>
      <c r="K18" s="91">
        <v>3236.17620000002</v>
      </c>
      <c r="L18" s="81">
        <v>0</v>
      </c>
      <c r="M18" s="91">
        <v>3236.1763</v>
      </c>
      <c r="N18" s="81">
        <v>661.2912</v>
      </c>
      <c r="O18" s="91">
        <v>2574.885</v>
      </c>
      <c r="Q18" s="81">
        <v>0</v>
      </c>
    </row>
    <row r="19" spans="1:17" ht="12.75">
      <c r="A19" s="81" t="s">
        <v>11</v>
      </c>
      <c r="B19" s="81">
        <v>3542.4537</v>
      </c>
      <c r="C19" s="81">
        <v>1791.3458</v>
      </c>
      <c r="D19" s="81">
        <v>233.1062</v>
      </c>
      <c r="E19" s="81">
        <v>96.1620999999754</v>
      </c>
      <c r="F19" s="91">
        <v>5663.06780000001</v>
      </c>
      <c r="G19" s="81">
        <v>2094.4217</v>
      </c>
      <c r="H19" s="81">
        <v>1315.4704</v>
      </c>
      <c r="I19" s="91">
        <v>2253.17570000001</v>
      </c>
      <c r="J19" s="81">
        <v>0</v>
      </c>
      <c r="K19" s="91">
        <v>2253.1758</v>
      </c>
      <c r="L19" s="81">
        <v>-58.2159000000102</v>
      </c>
      <c r="M19" s="91">
        <v>2194.9598</v>
      </c>
      <c r="N19" s="81">
        <v>369.9112</v>
      </c>
      <c r="O19" s="91">
        <v>1825.0486</v>
      </c>
      <c r="Q19" s="81">
        <v>1002.8369</v>
      </c>
    </row>
    <row r="20" spans="1:17" ht="12.75">
      <c r="A20" s="81" t="s">
        <v>24</v>
      </c>
      <c r="B20" s="81">
        <v>444.228999999981</v>
      </c>
      <c r="C20" s="81">
        <v>65.7968</v>
      </c>
      <c r="D20" s="81">
        <v>3.9373</v>
      </c>
      <c r="E20" s="81">
        <v>172.5169</v>
      </c>
      <c r="F20" s="91">
        <v>686.480099999961</v>
      </c>
      <c r="G20" s="81">
        <v>595.3498</v>
      </c>
      <c r="H20" s="81">
        <v>79.0187</v>
      </c>
      <c r="I20" s="91">
        <v>12.111599999961</v>
      </c>
      <c r="J20" s="81">
        <v>0</v>
      </c>
      <c r="K20" s="91">
        <v>12.1116000000001</v>
      </c>
      <c r="L20" s="81">
        <v>0.826</v>
      </c>
      <c r="M20" s="91">
        <v>12.9375</v>
      </c>
      <c r="N20" s="81">
        <v>4.5106</v>
      </c>
      <c r="O20" s="91">
        <v>8.4268</v>
      </c>
      <c r="Q20" s="81">
        <v>110.4065</v>
      </c>
    </row>
    <row r="21" spans="1:17" ht="12.75">
      <c r="A21" s="81" t="s">
        <v>29</v>
      </c>
      <c r="B21" s="81">
        <v>-133.571000000044</v>
      </c>
      <c r="C21" s="81">
        <v>99.9646</v>
      </c>
      <c r="D21" s="81">
        <v>0</v>
      </c>
      <c r="E21" s="81">
        <v>1737.2429</v>
      </c>
      <c r="F21" s="91">
        <v>1703.63649999996</v>
      </c>
      <c r="G21" s="81">
        <v>617.0088</v>
      </c>
      <c r="H21" s="81">
        <v>90.495</v>
      </c>
      <c r="I21" s="91">
        <v>996.132699999956</v>
      </c>
      <c r="J21" s="81">
        <v>0</v>
      </c>
      <c r="K21" s="91">
        <v>996.132700000007</v>
      </c>
      <c r="L21" s="81">
        <v>5.3635</v>
      </c>
      <c r="M21" s="91">
        <v>1001.4963</v>
      </c>
      <c r="N21" s="81">
        <v>170.4876</v>
      </c>
      <c r="O21" s="91">
        <v>831.0087</v>
      </c>
      <c r="Q21" s="81">
        <v>0</v>
      </c>
    </row>
    <row r="22" spans="1:17" ht="12.75">
      <c r="A22" s="81" t="s">
        <v>9</v>
      </c>
      <c r="B22" s="81">
        <v>735.2638</v>
      </c>
      <c r="C22" s="81">
        <v>109.1674</v>
      </c>
      <c r="D22" s="81">
        <v>1.3266</v>
      </c>
      <c r="E22" s="81">
        <v>52.6378</v>
      </c>
      <c r="F22" s="91">
        <v>898.395700000007</v>
      </c>
      <c r="G22" s="81">
        <v>548.9499</v>
      </c>
      <c r="H22" s="81">
        <v>30.5323</v>
      </c>
      <c r="I22" s="91">
        <v>318.913500000007</v>
      </c>
      <c r="J22" s="81">
        <v>1.0266</v>
      </c>
      <c r="K22" s="91">
        <v>319.940100000001</v>
      </c>
      <c r="L22" s="81">
        <v>-92.2914999999921</v>
      </c>
      <c r="M22" s="91">
        <v>227.6486</v>
      </c>
      <c r="N22" s="81">
        <v>47.2973</v>
      </c>
      <c r="O22" s="91">
        <v>180.3512</v>
      </c>
      <c r="Q22" s="81">
        <v>131.5495</v>
      </c>
    </row>
    <row r="23" spans="1:17" ht="12.75">
      <c r="A23" s="81" t="s">
        <v>26</v>
      </c>
      <c r="B23" s="81">
        <v>113.747</v>
      </c>
      <c r="C23" s="81">
        <v>3.7664</v>
      </c>
      <c r="D23" s="81">
        <v>0</v>
      </c>
      <c r="E23" s="81">
        <v>6.5904</v>
      </c>
      <c r="F23" s="91">
        <v>124.103800000008</v>
      </c>
      <c r="G23" s="81">
        <v>150.8256</v>
      </c>
      <c r="H23" s="81">
        <v>14.623</v>
      </c>
      <c r="I23" s="91">
        <v>-41.3447999999915</v>
      </c>
      <c r="J23" s="81">
        <v>3.8731</v>
      </c>
      <c r="K23" s="91">
        <v>-37.4716000000002</v>
      </c>
      <c r="L23" s="81">
        <v>22.6473</v>
      </c>
      <c r="M23" s="91">
        <v>-14.8240000000224</v>
      </c>
      <c r="N23" s="81">
        <v>-4.02460000000428</v>
      </c>
      <c r="O23" s="91">
        <v>-10.7994000000181</v>
      </c>
      <c r="Q23" s="81">
        <v>0</v>
      </c>
    </row>
    <row r="24" spans="1:17" ht="12.75">
      <c r="A24" s="81" t="s">
        <v>250</v>
      </c>
      <c r="B24" s="81">
        <v>1812.3543</v>
      </c>
      <c r="C24" s="81">
        <v>722.1916</v>
      </c>
      <c r="D24" s="81">
        <v>73.5494</v>
      </c>
      <c r="E24" s="81">
        <v>31.9271</v>
      </c>
      <c r="F24" s="91">
        <v>2640.02239999999</v>
      </c>
      <c r="G24" s="81">
        <v>1250.7078</v>
      </c>
      <c r="H24" s="81">
        <v>1059.9448</v>
      </c>
      <c r="I24" s="91">
        <v>329.36979999999</v>
      </c>
      <c r="J24" s="81">
        <v>0</v>
      </c>
      <c r="K24" s="91">
        <v>329.3699</v>
      </c>
      <c r="L24" s="81">
        <v>36.7954</v>
      </c>
      <c r="M24" s="91">
        <v>366.1652</v>
      </c>
      <c r="N24" s="81">
        <v>64.0048</v>
      </c>
      <c r="O24" s="91">
        <v>302.1604</v>
      </c>
      <c r="Q24" s="81">
        <v>583.9724</v>
      </c>
    </row>
    <row r="25" spans="1:17" ht="12.75">
      <c r="A25" s="81" t="s">
        <v>30</v>
      </c>
      <c r="B25" s="81">
        <v>-45.3297</v>
      </c>
      <c r="C25" s="81">
        <v>-0.223900000040885</v>
      </c>
      <c r="D25" s="81">
        <v>0</v>
      </c>
      <c r="E25" s="81">
        <v>374.7997</v>
      </c>
      <c r="F25" s="91">
        <v>329.246099999959</v>
      </c>
      <c r="G25" s="81">
        <v>690.2445</v>
      </c>
      <c r="H25" s="81">
        <v>0</v>
      </c>
      <c r="I25" s="91">
        <v>-360.998400000041</v>
      </c>
      <c r="J25" s="81">
        <v>77.3275</v>
      </c>
      <c r="K25" s="91">
        <v>-283.6707</v>
      </c>
      <c r="L25" s="81">
        <v>-6.45740000001388</v>
      </c>
      <c r="M25" s="91">
        <v>-290.128100000031</v>
      </c>
      <c r="N25" s="81">
        <v>-63.8870999999926</v>
      </c>
      <c r="O25" s="91">
        <v>-226.240900000033</v>
      </c>
      <c r="Q25" s="81">
        <v>0</v>
      </c>
    </row>
    <row r="26" spans="1:17" ht="12.75">
      <c r="A26" s="81" t="s">
        <v>22</v>
      </c>
      <c r="B26" s="81">
        <v>1578.442</v>
      </c>
      <c r="C26" s="81">
        <v>526.8241</v>
      </c>
      <c r="D26" s="81">
        <v>0</v>
      </c>
      <c r="E26" s="81">
        <v>116.5786</v>
      </c>
      <c r="F26" s="91">
        <v>2221.8446</v>
      </c>
      <c r="G26" s="81">
        <v>1353.1685</v>
      </c>
      <c r="H26" s="81">
        <v>608.9045</v>
      </c>
      <c r="I26" s="91">
        <v>259.7716</v>
      </c>
      <c r="J26" s="81">
        <v>37.3116</v>
      </c>
      <c r="K26" s="91">
        <v>297.0834</v>
      </c>
      <c r="L26" s="81">
        <v>13.1702</v>
      </c>
      <c r="M26" s="91">
        <v>310.2536</v>
      </c>
      <c r="N26" s="81">
        <v>20</v>
      </c>
      <c r="O26" s="91">
        <v>290.2536</v>
      </c>
      <c r="Q26" s="81">
        <v>277.9337</v>
      </c>
    </row>
    <row r="27" spans="1:17" ht="12.75">
      <c r="A27" s="81" t="s">
        <v>10</v>
      </c>
      <c r="B27" s="81">
        <v>44471.1937</v>
      </c>
      <c r="C27" s="81">
        <v>11280.5068</v>
      </c>
      <c r="D27" s="81">
        <v>3621.3549</v>
      </c>
      <c r="E27" s="81">
        <v>2280.61489999996</v>
      </c>
      <c r="F27" s="91">
        <v>61653.6703</v>
      </c>
      <c r="G27" s="81">
        <v>22922.0713</v>
      </c>
      <c r="H27" s="81">
        <v>15795.2563</v>
      </c>
      <c r="I27" s="91">
        <v>22936.3427</v>
      </c>
      <c r="J27" s="81">
        <v>4433.7603</v>
      </c>
      <c r="K27" s="91">
        <v>27370.1032</v>
      </c>
      <c r="L27" s="81">
        <v>-2951.53860000003</v>
      </c>
      <c r="M27" s="91">
        <v>24418.5645</v>
      </c>
      <c r="N27" s="81">
        <v>3366.266</v>
      </c>
      <c r="O27" s="91">
        <v>21052.2984</v>
      </c>
      <c r="Q27" s="81">
        <v>11002.4301</v>
      </c>
    </row>
    <row r="28" spans="1:17" ht="12.75">
      <c r="A28" s="81" t="s">
        <v>32</v>
      </c>
      <c r="B28" s="81">
        <v>3669.69819999996</v>
      </c>
      <c r="C28" s="81">
        <v>673.888</v>
      </c>
      <c r="D28" s="81">
        <v>4.9678</v>
      </c>
      <c r="E28" s="81">
        <v>1035.0235</v>
      </c>
      <c r="F28" s="91">
        <v>5383.57749999996</v>
      </c>
      <c r="G28" s="81">
        <v>2615.9441</v>
      </c>
      <c r="H28" s="81">
        <v>762.1086</v>
      </c>
      <c r="I28" s="91">
        <v>2005.52479999996</v>
      </c>
      <c r="J28" s="81">
        <v>119.9416</v>
      </c>
      <c r="K28" s="91">
        <v>2125.4665</v>
      </c>
      <c r="L28" s="81">
        <v>31.5448</v>
      </c>
      <c r="M28" s="91">
        <v>2157.0114</v>
      </c>
      <c r="N28" s="81">
        <v>277.1362</v>
      </c>
      <c r="O28" s="91">
        <v>1879.8751</v>
      </c>
      <c r="Q28" s="81">
        <v>145.2245</v>
      </c>
    </row>
    <row r="29" spans="1:17" ht="12.75">
      <c r="A29" s="82" t="s">
        <v>21</v>
      </c>
      <c r="B29" s="82">
        <v>3764.7989</v>
      </c>
      <c r="C29" s="82">
        <v>1126.4476</v>
      </c>
      <c r="D29" s="82">
        <v>133.1327</v>
      </c>
      <c r="E29" s="82">
        <v>840.4025</v>
      </c>
      <c r="F29" s="92">
        <v>5864.7817</v>
      </c>
      <c r="G29" s="82">
        <v>2932.6298</v>
      </c>
      <c r="H29" s="82">
        <v>647.323</v>
      </c>
      <c r="I29" s="92">
        <v>2284.8289</v>
      </c>
      <c r="J29" s="82">
        <v>400.0513</v>
      </c>
      <c r="K29" s="92">
        <v>2684.8803</v>
      </c>
      <c r="L29" s="82">
        <v>10.763</v>
      </c>
      <c r="M29" s="92">
        <v>2695.6433</v>
      </c>
      <c r="N29" s="82">
        <v>299.2352</v>
      </c>
      <c r="O29" s="92">
        <v>2396.4081</v>
      </c>
      <c r="Q29" s="82">
        <v>759.8173</v>
      </c>
    </row>
    <row r="30" spans="6:15" ht="12.75">
      <c r="F30" s="63"/>
      <c r="I30" s="63"/>
      <c r="K30" s="63"/>
      <c r="M30" s="63"/>
      <c r="O30" s="63"/>
    </row>
    <row r="31" spans="1:17" ht="12.75">
      <c r="A31" s="78" t="s">
        <v>137</v>
      </c>
      <c r="B31" s="78">
        <v>26270.0752</v>
      </c>
      <c r="C31" s="78">
        <v>7556.3897</v>
      </c>
      <c r="D31" s="78">
        <v>2230.1605</v>
      </c>
      <c r="E31" s="78">
        <v>5085.2689</v>
      </c>
      <c r="F31" s="94">
        <v>41141.8942</v>
      </c>
      <c r="G31" s="78">
        <v>23498.225</v>
      </c>
      <c r="H31" s="78">
        <v>6525.6348</v>
      </c>
      <c r="I31" s="94">
        <v>11118.0344</v>
      </c>
      <c r="J31" s="78">
        <v>540.233100000007</v>
      </c>
      <c r="K31" s="94">
        <v>11658.2676</v>
      </c>
      <c r="L31" s="78">
        <v>-142.781400000036</v>
      </c>
      <c r="M31" s="94">
        <v>11515.486</v>
      </c>
      <c r="N31" s="78">
        <v>7152</v>
      </c>
      <c r="O31" s="94">
        <v>4363.486</v>
      </c>
      <c r="P31" s="79"/>
      <c r="Q31" s="78">
        <v>3838.7726</v>
      </c>
    </row>
    <row r="32" spans="1:17" ht="12.75">
      <c r="A32" s="79"/>
      <c r="B32" s="79"/>
      <c r="C32" s="79"/>
      <c r="D32" s="79"/>
      <c r="E32" s="79"/>
      <c r="F32" s="63"/>
      <c r="G32" s="79"/>
      <c r="H32" s="79"/>
      <c r="I32" s="63"/>
      <c r="J32" s="79"/>
      <c r="K32" s="63"/>
      <c r="L32" s="79"/>
      <c r="M32" s="63"/>
      <c r="N32" s="79"/>
      <c r="O32" s="63"/>
      <c r="P32" s="79"/>
      <c r="Q32" s="79"/>
    </row>
    <row r="33" spans="1:17" ht="12.75">
      <c r="A33" s="78" t="s">
        <v>23</v>
      </c>
      <c r="B33" s="78">
        <v>16781.7686</v>
      </c>
      <c r="C33" s="78">
        <v>2401.7903</v>
      </c>
      <c r="D33" s="78">
        <v>499.5764</v>
      </c>
      <c r="E33" s="78">
        <v>4074.3255</v>
      </c>
      <c r="F33" s="94">
        <v>23757.4609</v>
      </c>
      <c r="G33" s="78">
        <v>12326.495</v>
      </c>
      <c r="H33" s="78">
        <v>3266.4439</v>
      </c>
      <c r="I33" s="94">
        <v>8164.522</v>
      </c>
      <c r="J33" s="78">
        <v>655.3465</v>
      </c>
      <c r="K33" s="94">
        <v>8819.8686</v>
      </c>
      <c r="L33" s="78">
        <v>256.2954</v>
      </c>
      <c r="M33" s="94">
        <v>9076.164</v>
      </c>
      <c r="N33" s="78">
        <v>789.8391</v>
      </c>
      <c r="O33" s="94">
        <v>8286.3249</v>
      </c>
      <c r="P33" s="79"/>
      <c r="Q33" s="78">
        <v>16942.06</v>
      </c>
    </row>
    <row r="34" spans="1:17" ht="12.75">
      <c r="A34" s="81" t="s">
        <v>34</v>
      </c>
      <c r="B34" s="80">
        <v>5885.7553</v>
      </c>
      <c r="C34" s="81">
        <v>909.7348</v>
      </c>
      <c r="D34" s="81">
        <v>106.1239</v>
      </c>
      <c r="E34" s="81">
        <v>967.1164</v>
      </c>
      <c r="F34" s="91">
        <v>7868.7303</v>
      </c>
      <c r="G34" s="81">
        <v>3914.0614</v>
      </c>
      <c r="H34" s="81">
        <v>2019.5394</v>
      </c>
      <c r="I34" s="91">
        <v>1935.1295</v>
      </c>
      <c r="J34" s="81">
        <v>156.8607</v>
      </c>
      <c r="K34" s="91">
        <v>2091.9905</v>
      </c>
      <c r="L34" s="81">
        <v>108.6248</v>
      </c>
      <c r="M34" s="91">
        <v>2200.6153</v>
      </c>
      <c r="N34" s="81">
        <v>196.8432</v>
      </c>
      <c r="O34" s="90">
        <v>2003.772</v>
      </c>
      <c r="Q34" s="80">
        <v>15883.3631</v>
      </c>
    </row>
    <row r="35" spans="1:17" ht="12.75">
      <c r="A35" s="81" t="s">
        <v>12</v>
      </c>
      <c r="B35" s="81">
        <v>9397.0506</v>
      </c>
      <c r="C35" s="81">
        <v>1471.6608</v>
      </c>
      <c r="D35" s="81">
        <v>392.0709</v>
      </c>
      <c r="E35" s="81">
        <v>927.6675</v>
      </c>
      <c r="F35" s="91">
        <v>12188.4498</v>
      </c>
      <c r="G35" s="81">
        <v>7612.1355</v>
      </c>
      <c r="H35" s="81">
        <v>1170.2442</v>
      </c>
      <c r="I35" s="91">
        <v>3406.07009999999</v>
      </c>
      <c r="J35" s="81">
        <v>498.4857</v>
      </c>
      <c r="K35" s="91">
        <v>3904.5561</v>
      </c>
      <c r="L35" s="81">
        <v>147.2085</v>
      </c>
      <c r="M35" s="91">
        <v>4051.7646</v>
      </c>
      <c r="N35" s="81">
        <v>516.9865</v>
      </c>
      <c r="O35" s="91">
        <v>3534.7781</v>
      </c>
      <c r="Q35" s="81">
        <v>1058.6969</v>
      </c>
    </row>
    <row r="36" spans="1:17" ht="12.75">
      <c r="A36" s="81" t="s">
        <v>14</v>
      </c>
      <c r="B36" s="81">
        <v>187.4438</v>
      </c>
      <c r="C36" s="81">
        <v>7.8396</v>
      </c>
      <c r="D36" s="81">
        <v>0</v>
      </c>
      <c r="E36" s="81">
        <v>37.8435</v>
      </c>
      <c r="F36" s="91">
        <v>233.1269</v>
      </c>
      <c r="G36" s="81">
        <v>51.2751</v>
      </c>
      <c r="H36" s="81">
        <v>5.9168</v>
      </c>
      <c r="I36" s="91">
        <v>175.935</v>
      </c>
      <c r="J36" s="81">
        <v>0</v>
      </c>
      <c r="K36" s="91">
        <v>175.9352</v>
      </c>
      <c r="L36" s="81">
        <v>-159.622200000042</v>
      </c>
      <c r="M36" s="91">
        <v>16.3127</v>
      </c>
      <c r="N36" s="81">
        <v>0</v>
      </c>
      <c r="O36" s="91">
        <v>16.3127</v>
      </c>
      <c r="Q36" s="81">
        <v>0</v>
      </c>
    </row>
    <row r="37" spans="1:17" ht="12.75">
      <c r="A37" s="81" t="s">
        <v>13</v>
      </c>
      <c r="B37" s="81">
        <v>155.2806</v>
      </c>
      <c r="C37" s="81">
        <v>4.034</v>
      </c>
      <c r="D37" s="81">
        <v>1.3815</v>
      </c>
      <c r="E37" s="81">
        <v>61.1948</v>
      </c>
      <c r="F37" s="91">
        <v>221.8909</v>
      </c>
      <c r="G37" s="81">
        <v>112.3986</v>
      </c>
      <c r="H37" s="81">
        <v>2.3474</v>
      </c>
      <c r="I37" s="91">
        <v>107.1449</v>
      </c>
      <c r="J37" s="81">
        <v>0</v>
      </c>
      <c r="K37" s="91">
        <v>107.1451</v>
      </c>
      <c r="L37" s="81">
        <v>158.7703</v>
      </c>
      <c r="M37" s="91">
        <v>265.9153</v>
      </c>
      <c r="N37" s="81">
        <v>41.5303</v>
      </c>
      <c r="O37" s="91">
        <v>224.3849</v>
      </c>
      <c r="Q37" s="81">
        <v>0</v>
      </c>
    </row>
    <row r="38" spans="1:17" ht="12.75">
      <c r="A38" s="81" t="s">
        <v>256</v>
      </c>
      <c r="B38" s="81">
        <v>177.7331</v>
      </c>
      <c r="C38" s="81">
        <v>6.6365</v>
      </c>
      <c r="D38" s="81">
        <v>0</v>
      </c>
      <c r="E38" s="81">
        <v>43.8111</v>
      </c>
      <c r="F38" s="91">
        <v>228.1807</v>
      </c>
      <c r="G38" s="81">
        <v>133.265</v>
      </c>
      <c r="H38" s="81">
        <v>3.037</v>
      </c>
      <c r="I38" s="91">
        <v>91.8787</v>
      </c>
      <c r="J38" s="81">
        <v>0</v>
      </c>
      <c r="K38" s="91">
        <v>91.8788</v>
      </c>
      <c r="L38" s="81">
        <v>1.3139</v>
      </c>
      <c r="M38" s="91">
        <v>93.1928</v>
      </c>
      <c r="N38" s="81">
        <v>0</v>
      </c>
      <c r="O38" s="91">
        <v>93.1928</v>
      </c>
      <c r="Q38" s="81">
        <v>0</v>
      </c>
    </row>
    <row r="39" spans="1:17" ht="12.75">
      <c r="A39" s="82" t="s">
        <v>33</v>
      </c>
      <c r="B39" s="82">
        <v>978.5049</v>
      </c>
      <c r="C39" s="82">
        <v>1.8843</v>
      </c>
      <c r="D39" s="82">
        <v>0</v>
      </c>
      <c r="E39" s="82">
        <v>2036.69200000001</v>
      </c>
      <c r="F39" s="92">
        <v>3017.08119999996</v>
      </c>
      <c r="G39" s="82">
        <v>503.3591</v>
      </c>
      <c r="H39" s="82">
        <v>65.3589</v>
      </c>
      <c r="I39" s="92">
        <v>2448.36319999996</v>
      </c>
      <c r="J39" s="82">
        <v>0</v>
      </c>
      <c r="K39" s="92">
        <v>2448.3633</v>
      </c>
      <c r="L39" s="82">
        <v>0</v>
      </c>
      <c r="M39" s="92">
        <v>2448.3631</v>
      </c>
      <c r="N39" s="82">
        <v>34.4789</v>
      </c>
      <c r="O39" s="92">
        <v>2413.8842</v>
      </c>
      <c r="Q39" s="82">
        <v>0</v>
      </c>
    </row>
    <row r="41" spans="1:17" ht="12.75">
      <c r="A41" s="77" t="s">
        <v>15</v>
      </c>
      <c r="B41" s="78">
        <v>170388.8473</v>
      </c>
      <c r="C41" s="78">
        <v>47122.262</v>
      </c>
      <c r="D41" s="78">
        <v>14711.9717</v>
      </c>
      <c r="E41" s="78">
        <v>28115.3642</v>
      </c>
      <c r="F41" s="94">
        <v>260338.4453</v>
      </c>
      <c r="G41" s="78">
        <v>122778.0927</v>
      </c>
      <c r="H41" s="78">
        <v>47035.096</v>
      </c>
      <c r="I41" s="94">
        <v>90525.2565999999</v>
      </c>
      <c r="J41" s="78">
        <v>12180.1909</v>
      </c>
      <c r="K41" s="94">
        <v>102705.4476</v>
      </c>
      <c r="L41" s="78">
        <v>-6112.02600000001</v>
      </c>
      <c r="M41" s="94">
        <v>96593.4215</v>
      </c>
      <c r="N41" s="78">
        <v>18177.8745</v>
      </c>
      <c r="O41" s="94">
        <v>78415.5469</v>
      </c>
      <c r="P41" s="45"/>
      <c r="Q41" s="78">
        <v>48309.0413</v>
      </c>
    </row>
    <row r="42" spans="1:17" ht="12.75">
      <c r="A42" s="85"/>
      <c r="B42" s="86"/>
      <c r="C42" s="86"/>
      <c r="D42" s="86"/>
      <c r="E42" s="86"/>
      <c r="F42" s="34"/>
      <c r="G42" s="86"/>
      <c r="H42" s="86"/>
      <c r="I42" s="34"/>
      <c r="J42" s="86"/>
      <c r="K42" s="34"/>
      <c r="L42" s="86"/>
      <c r="M42" s="34"/>
      <c r="N42" s="93"/>
      <c r="O42" s="34"/>
      <c r="P42" s="6"/>
      <c r="Q42" s="86"/>
    </row>
    <row r="43" ht="12.75">
      <c r="A43" s="45"/>
    </row>
    <row r="45" ht="12.75">
      <c r="A45" s="3" t="s">
        <v>102</v>
      </c>
    </row>
  </sheetData>
  <mergeCells count="2">
    <mergeCell ref="A4:P4"/>
    <mergeCell ref="A3:Q3"/>
  </mergeCells>
  <hyperlinks>
    <hyperlink ref="Q1" location="Indice!A1" display="Volver"/>
  </hyperlinks>
  <printOptions horizontalCentered="1" verticalCentered="1"/>
  <pageMargins left="0.1968503937007874" right="0.1968503937007874" top="0.23" bottom="0.23" header="0" footer="0"/>
  <pageSetup fitToHeight="1" fitToWidth="1" horizontalDpi="600" verticalDpi="600" orientation="landscape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0">
      <selection activeCell="A1" sqref="A1"/>
    </sheetView>
  </sheetViews>
  <sheetFormatPr defaultColWidth="11.00390625" defaultRowHeight="12.75"/>
  <cols>
    <col min="1" max="1" width="37.125" style="3" customWidth="1"/>
    <col min="2" max="5" width="14.125" style="3" bestFit="1" customWidth="1"/>
    <col min="6" max="6" width="17.875" style="3" bestFit="1" customWidth="1"/>
    <col min="7" max="7" width="23.50390625" style="3" bestFit="1" customWidth="1"/>
    <col min="8" max="8" width="22.625" style="3" bestFit="1" customWidth="1"/>
    <col min="9" max="9" width="25.875" style="3" bestFit="1" customWidth="1"/>
    <col min="10" max="10" width="24.00390625" style="3" bestFit="1" customWidth="1"/>
    <col min="11" max="11" width="19.00390625" style="3" bestFit="1" customWidth="1"/>
    <col min="12" max="12" width="21.625" style="3" bestFit="1" customWidth="1"/>
    <col min="13" max="16384" width="12.00390625" style="3" customWidth="1"/>
  </cols>
  <sheetData>
    <row r="1" spans="1:12" ht="12.75">
      <c r="A1" s="106" t="s">
        <v>140</v>
      </c>
      <c r="L1" s="110" t="s">
        <v>147</v>
      </c>
    </row>
    <row r="2" spans="1:12" ht="12.75">
      <c r="A2" s="106" t="s">
        <v>141</v>
      </c>
      <c r="L2" s="110"/>
    </row>
    <row r="3" spans="1:12" ht="18">
      <c r="A3" s="185" t="s">
        <v>255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12.75">
      <c r="A4" s="186" t="s">
        <v>91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2" ht="12.7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12.75">
      <c r="A6" s="68"/>
      <c r="B6" s="182" t="s">
        <v>243</v>
      </c>
      <c r="C6" s="183"/>
      <c r="D6" s="183"/>
      <c r="E6" s="183"/>
      <c r="F6" s="184"/>
      <c r="G6" s="182" t="s">
        <v>85</v>
      </c>
      <c r="H6" s="184"/>
      <c r="I6" s="182" t="s">
        <v>89</v>
      </c>
      <c r="J6" s="184"/>
      <c r="K6" s="182" t="s">
        <v>244</v>
      </c>
      <c r="L6" s="184"/>
    </row>
    <row r="7" spans="1:12" ht="12.75">
      <c r="A7" s="71" t="s">
        <v>20</v>
      </c>
      <c r="B7" s="182" t="s">
        <v>0</v>
      </c>
      <c r="C7" s="183"/>
      <c r="D7" s="183"/>
      <c r="E7" s="183"/>
      <c r="F7" s="184"/>
      <c r="G7" s="95" t="s">
        <v>87</v>
      </c>
      <c r="H7" s="96" t="s">
        <v>88</v>
      </c>
      <c r="I7" s="96" t="s">
        <v>106</v>
      </c>
      <c r="J7" s="96" t="s">
        <v>106</v>
      </c>
      <c r="K7" s="71" t="s">
        <v>107</v>
      </c>
      <c r="L7" s="71" t="s">
        <v>108</v>
      </c>
    </row>
    <row r="8" spans="1:12" ht="12.75">
      <c r="A8" s="73"/>
      <c r="B8" s="74" t="s">
        <v>95</v>
      </c>
      <c r="C8" s="73" t="s">
        <v>96</v>
      </c>
      <c r="D8" s="73" t="s">
        <v>94</v>
      </c>
      <c r="E8" s="73" t="s">
        <v>35</v>
      </c>
      <c r="F8" s="73" t="s">
        <v>105</v>
      </c>
      <c r="G8" s="74" t="s">
        <v>86</v>
      </c>
      <c r="H8" s="73" t="s">
        <v>86</v>
      </c>
      <c r="I8" s="73" t="s">
        <v>110</v>
      </c>
      <c r="J8" s="73" t="s">
        <v>109</v>
      </c>
      <c r="K8" s="73"/>
      <c r="L8" s="73"/>
    </row>
    <row r="9" spans="2:10" ht="12.75">
      <c r="B9" s="76"/>
      <c r="C9" s="76"/>
      <c r="D9" s="76"/>
      <c r="E9" s="76"/>
      <c r="F9" s="76"/>
      <c r="G9" s="76"/>
      <c r="H9" s="76"/>
      <c r="I9" s="76"/>
      <c r="J9" s="76"/>
    </row>
    <row r="10" spans="1:12" ht="12.75">
      <c r="A10" s="77" t="s">
        <v>16</v>
      </c>
      <c r="B10" s="97">
        <v>13.2657277105662</v>
      </c>
      <c r="C10" s="97">
        <v>10.8383003134011</v>
      </c>
      <c r="D10" s="97">
        <v>19.4401202764108</v>
      </c>
      <c r="E10" s="97">
        <v>22.8368333467017</v>
      </c>
      <c r="F10" s="97">
        <v>17.2550394179794</v>
      </c>
      <c r="G10" s="97">
        <v>1.61641791748</v>
      </c>
      <c r="H10" s="97">
        <v>0.965483561380433</v>
      </c>
      <c r="I10" s="97">
        <v>44.4912901963382</v>
      </c>
      <c r="J10" s="97">
        <v>2.16796728043464</v>
      </c>
      <c r="K10" s="161">
        <v>22.4483019308302</v>
      </c>
      <c r="L10" s="162">
        <v>19.4249300903326</v>
      </c>
    </row>
    <row r="11" spans="1:12" ht="12.75">
      <c r="A11" s="80" t="s">
        <v>28</v>
      </c>
      <c r="B11" s="98">
        <v>-22.6087284208776</v>
      </c>
      <c r="C11" s="98">
        <v>-22.6108922648333</v>
      </c>
      <c r="D11" s="98">
        <v>-22.2429921249511</v>
      </c>
      <c r="E11" s="98">
        <v>-47.1686162110493</v>
      </c>
      <c r="F11" s="98">
        <v>-21.3993292578379</v>
      </c>
      <c r="G11" s="98">
        <v>1.28394679621583</v>
      </c>
      <c r="H11" s="98">
        <v>2.01759503174065</v>
      </c>
      <c r="I11" s="98">
        <v>23.9337473947284</v>
      </c>
      <c r="J11" s="98">
        <v>1.96395930304055</v>
      </c>
      <c r="K11" s="163">
        <v>28.0632106948366</v>
      </c>
      <c r="L11" s="164">
        <v>26.3135135212989</v>
      </c>
    </row>
    <row r="12" spans="1:12" ht="12.75">
      <c r="A12" s="81" t="s">
        <v>25</v>
      </c>
      <c r="B12" s="99">
        <v>16.8713961542159</v>
      </c>
      <c r="C12" s="99">
        <v>18.485348908272</v>
      </c>
      <c r="D12" s="99">
        <v>13.7765141145061</v>
      </c>
      <c r="E12" s="99">
        <v>19.6829912682873</v>
      </c>
      <c r="F12" s="99">
        <v>11.8224512716583</v>
      </c>
      <c r="G12" s="99">
        <v>1.33459415113285</v>
      </c>
      <c r="H12" s="99">
        <v>1.09609200862279</v>
      </c>
      <c r="I12" s="99">
        <v>52.07467865383</v>
      </c>
      <c r="J12" s="99">
        <v>1.88936894249006</v>
      </c>
      <c r="K12" s="165">
        <v>12.269471565812</v>
      </c>
      <c r="L12" s="166">
        <v>10.8608751971598</v>
      </c>
    </row>
    <row r="13" spans="1:12" ht="12.75">
      <c r="A13" s="81" t="s">
        <v>5</v>
      </c>
      <c r="B13" s="99">
        <v>14.4688362640702</v>
      </c>
      <c r="C13" s="99">
        <v>14.6893761789475</v>
      </c>
      <c r="D13" s="99">
        <v>12.7106154593618</v>
      </c>
      <c r="E13" s="99">
        <v>9.06353002571272</v>
      </c>
      <c r="F13" s="99">
        <v>13.9626388869601</v>
      </c>
      <c r="G13" s="99">
        <v>1.05435474669879</v>
      </c>
      <c r="H13" s="99">
        <v>0.29739469922389</v>
      </c>
      <c r="I13" s="99">
        <v>53.6243598540226</v>
      </c>
      <c r="J13" s="99">
        <v>1.59863238975167</v>
      </c>
      <c r="K13" s="165">
        <v>20.9616939884863</v>
      </c>
      <c r="L13" s="166">
        <v>17.6189055407823</v>
      </c>
    </row>
    <row r="14" spans="1:12" ht="12.75">
      <c r="A14" s="81" t="s">
        <v>6</v>
      </c>
      <c r="B14" s="99">
        <v>9.69895109767054</v>
      </c>
      <c r="C14" s="99">
        <v>6.79191028310742</v>
      </c>
      <c r="D14" s="99">
        <v>22.0909481643301</v>
      </c>
      <c r="E14" s="99">
        <v>19.2792245249099</v>
      </c>
      <c r="F14" s="99">
        <v>26.632851225091</v>
      </c>
      <c r="G14" s="99">
        <v>1.56131069480859</v>
      </c>
      <c r="H14" s="99">
        <v>0.906738464152905</v>
      </c>
      <c r="I14" s="99">
        <v>46.5157920025554</v>
      </c>
      <c r="J14" s="99">
        <v>1.59169582413557</v>
      </c>
      <c r="K14" s="165">
        <v>10.4917844274873</v>
      </c>
      <c r="L14" s="166">
        <v>8.91818519771385</v>
      </c>
    </row>
    <row r="15" spans="1:12" ht="12.75">
      <c r="A15" s="81" t="s">
        <v>7</v>
      </c>
      <c r="B15" s="99">
        <v>15.9313638202979</v>
      </c>
      <c r="C15" s="99">
        <v>15.7795931397902</v>
      </c>
      <c r="D15" s="99">
        <v>16.3305171388959</v>
      </c>
      <c r="E15" s="99">
        <v>21.2537553730936</v>
      </c>
      <c r="F15" s="99">
        <v>13.2820919293569</v>
      </c>
      <c r="G15" s="99">
        <v>1.72063692008855</v>
      </c>
      <c r="H15" s="99">
        <v>0.876777723728269</v>
      </c>
      <c r="I15" s="99">
        <v>49.8968951914391</v>
      </c>
      <c r="J15" s="99">
        <v>2.22860506999759</v>
      </c>
      <c r="K15" s="165">
        <v>23.7196630333822</v>
      </c>
      <c r="L15" s="166">
        <v>21.5071641627424</v>
      </c>
    </row>
    <row r="16" spans="1:12" ht="12.75">
      <c r="A16" s="81" t="s">
        <v>242</v>
      </c>
      <c r="B16" s="100">
        <v>19.5597264236721</v>
      </c>
      <c r="C16" s="100">
        <v>15.5808265483389</v>
      </c>
      <c r="D16" s="100">
        <v>31.7060687853667</v>
      </c>
      <c r="E16" s="100">
        <v>65.7554602065511</v>
      </c>
      <c r="F16" s="100">
        <v>14.4077263948139</v>
      </c>
      <c r="G16" s="99">
        <v>1.57968833429379</v>
      </c>
      <c r="H16" s="99">
        <v>1.04159455392434</v>
      </c>
      <c r="I16" s="99">
        <v>48.71422697603</v>
      </c>
      <c r="J16" s="99">
        <v>2.32127580646817</v>
      </c>
      <c r="K16" s="165">
        <v>27.2495485718599</v>
      </c>
      <c r="L16" s="166">
        <v>22.9165677378278</v>
      </c>
    </row>
    <row r="17" spans="1:12" ht="12.75">
      <c r="A17" s="81" t="s">
        <v>8</v>
      </c>
      <c r="B17" s="99">
        <v>17.2837653207583</v>
      </c>
      <c r="C17" s="99">
        <v>17.2364096982058</v>
      </c>
      <c r="D17" s="99">
        <v>17.4798855924329</v>
      </c>
      <c r="E17" s="99">
        <v>26.4207954792264</v>
      </c>
      <c r="F17" s="99">
        <v>16.2009096769394</v>
      </c>
      <c r="G17" s="99">
        <v>2.63951401101986</v>
      </c>
      <c r="H17" s="99">
        <v>1.30686517581083</v>
      </c>
      <c r="I17" s="99">
        <v>46.1792746032698</v>
      </c>
      <c r="J17" s="99">
        <v>2.28479751818946</v>
      </c>
      <c r="K17" s="165">
        <v>14.1145649180715</v>
      </c>
      <c r="L17" s="166">
        <v>11.1327958809617</v>
      </c>
    </row>
    <row r="18" spans="1:12" ht="12.75">
      <c r="A18" s="81" t="s">
        <v>31</v>
      </c>
      <c r="B18" s="99">
        <v>-87.4050092167505</v>
      </c>
      <c r="C18" s="99">
        <v>-87.4050092167505</v>
      </c>
      <c r="D18" s="100" t="s">
        <v>241</v>
      </c>
      <c r="E18" s="100" t="s">
        <v>241</v>
      </c>
      <c r="F18" s="100" t="s">
        <v>241</v>
      </c>
      <c r="G18" s="99">
        <v>0.999997419691078</v>
      </c>
      <c r="H18" s="99">
        <v>0</v>
      </c>
      <c r="I18" s="99">
        <v>6.75525930732356</v>
      </c>
      <c r="J18" s="99">
        <v>0.648188149327854</v>
      </c>
      <c r="K18" s="165">
        <v>50.3237755916432</v>
      </c>
      <c r="L18" s="166">
        <v>40.0404436909968</v>
      </c>
    </row>
    <row r="19" spans="1:12" ht="12.75">
      <c r="A19" s="81" t="s">
        <v>11</v>
      </c>
      <c r="B19" s="99">
        <v>27.7107747052382</v>
      </c>
      <c r="C19" s="99">
        <v>2.00426524937949</v>
      </c>
      <c r="D19" s="99">
        <v>28.0484416296116</v>
      </c>
      <c r="E19" s="99">
        <v>30.6979294129788</v>
      </c>
      <c r="F19" s="99">
        <v>16.7767333965084</v>
      </c>
      <c r="G19" s="99">
        <v>3.17561769135965</v>
      </c>
      <c r="H19" s="99">
        <v>0.265968881982231</v>
      </c>
      <c r="I19" s="99">
        <v>36.9838711802108</v>
      </c>
      <c r="J19" s="99">
        <v>5.91430646993485</v>
      </c>
      <c r="K19" s="165">
        <v>45.5820718876808</v>
      </c>
      <c r="L19" s="166">
        <v>37.900236935415</v>
      </c>
    </row>
    <row r="20" spans="1:12" ht="12.75">
      <c r="A20" s="81" t="s">
        <v>24</v>
      </c>
      <c r="B20" s="99">
        <v>28.660366686798</v>
      </c>
      <c r="C20" s="99">
        <v>28.6603667916504</v>
      </c>
      <c r="D20" s="100" t="s">
        <v>241</v>
      </c>
      <c r="E20" s="100" t="s">
        <v>241</v>
      </c>
      <c r="F20" s="100" t="s">
        <v>241</v>
      </c>
      <c r="G20" s="99">
        <v>2.33562968887651</v>
      </c>
      <c r="H20" s="99">
        <v>0.999346291145433</v>
      </c>
      <c r="I20" s="99">
        <v>86.724990280131</v>
      </c>
      <c r="J20" s="99">
        <v>4.68847768015364</v>
      </c>
      <c r="K20" s="165">
        <v>1.01278741145368</v>
      </c>
      <c r="L20" s="166">
        <v>0.659675900200026</v>
      </c>
    </row>
    <row r="21" spans="1:12" ht="12.75">
      <c r="A21" s="81" t="s">
        <v>29</v>
      </c>
      <c r="B21" s="99">
        <v>-4.6164239827484</v>
      </c>
      <c r="C21" s="99">
        <v>-4.61234749974625</v>
      </c>
      <c r="D21" s="99">
        <v>-13.4388033015836</v>
      </c>
      <c r="E21" s="99">
        <v>-13.4388033015836</v>
      </c>
      <c r="F21" s="100" t="s">
        <v>241</v>
      </c>
      <c r="G21" s="99">
        <v>0.758769456885365</v>
      </c>
      <c r="H21" s="99">
        <v>0.0141504710547137</v>
      </c>
      <c r="I21" s="99">
        <v>36.21716252264</v>
      </c>
      <c r="J21" s="99">
        <v>1.73821392125196</v>
      </c>
      <c r="K21" s="165">
        <v>13.736474102149</v>
      </c>
      <c r="L21" s="166">
        <v>11.3980745472654</v>
      </c>
    </row>
    <row r="22" spans="1:12" ht="12.75">
      <c r="A22" s="81" t="s">
        <v>9</v>
      </c>
      <c r="B22" s="99">
        <v>-1.21173300543453</v>
      </c>
      <c r="C22" s="99">
        <v>-1.02347629464252</v>
      </c>
      <c r="D22" s="99">
        <v>-20.9296312457848</v>
      </c>
      <c r="E22" s="99">
        <v>-9.20761890999458</v>
      </c>
      <c r="F22" s="99">
        <v>-24.8270977986517</v>
      </c>
      <c r="G22" s="99">
        <v>2.22396384634181</v>
      </c>
      <c r="H22" s="99">
        <v>2.00863962334482</v>
      </c>
      <c r="I22" s="99">
        <v>61.103353455498</v>
      </c>
      <c r="J22" s="99">
        <v>3.46912673680693</v>
      </c>
      <c r="K22" s="165">
        <v>15.6265900437737</v>
      </c>
      <c r="L22" s="166">
        <v>12.3799323444231</v>
      </c>
    </row>
    <row r="23" spans="1:12" ht="12.75">
      <c r="A23" s="81" t="s">
        <v>26</v>
      </c>
      <c r="B23" s="99">
        <v>-0.330523966586993</v>
      </c>
      <c r="C23" s="99">
        <v>-0.350125903933785</v>
      </c>
      <c r="D23" s="100" t="s">
        <v>241</v>
      </c>
      <c r="E23" s="100" t="s">
        <v>241</v>
      </c>
      <c r="F23" s="100" t="s">
        <v>241</v>
      </c>
      <c r="G23" s="99">
        <v>1.65239581919872</v>
      </c>
      <c r="H23" s="99">
        <v>1.02074471720685</v>
      </c>
      <c r="I23" s="99">
        <v>121.531814497211</v>
      </c>
      <c r="J23" s="99">
        <v>2.81459215493384</v>
      </c>
      <c r="K23" s="165">
        <v>-2.11946481226206</v>
      </c>
      <c r="L23" s="166">
        <v>-1.54404670085987</v>
      </c>
    </row>
    <row r="24" spans="1:12" ht="12.75">
      <c r="A24" s="81" t="s">
        <v>249</v>
      </c>
      <c r="B24" s="100">
        <v>33.6755358207562</v>
      </c>
      <c r="C24" s="100">
        <v>-94.6746289907416</v>
      </c>
      <c r="D24" s="100">
        <v>38.1677867380863</v>
      </c>
      <c r="E24" s="100">
        <v>37.1357133641045</v>
      </c>
      <c r="F24" s="100" t="s">
        <v>241</v>
      </c>
      <c r="G24" s="99">
        <v>4.09738326380536</v>
      </c>
      <c r="H24" s="99">
        <v>0.295767044470949</v>
      </c>
      <c r="I24" s="99">
        <v>47.3748934857524</v>
      </c>
      <c r="J24" s="99">
        <v>9.1104263432348</v>
      </c>
      <c r="K24" s="165">
        <v>21.4512116209363</v>
      </c>
      <c r="L24" s="166">
        <v>17.7015912049172</v>
      </c>
    </row>
    <row r="25" spans="1:12" ht="12.75">
      <c r="A25" s="81" t="s">
        <v>30</v>
      </c>
      <c r="B25" s="100">
        <v>-100</v>
      </c>
      <c r="C25" s="100">
        <v>-100</v>
      </c>
      <c r="D25" s="100" t="s">
        <v>241</v>
      </c>
      <c r="E25" s="100" t="s">
        <v>241</v>
      </c>
      <c r="F25" s="100" t="s">
        <v>241</v>
      </c>
      <c r="G25" s="100" t="s">
        <v>241</v>
      </c>
      <c r="H25" s="100" t="s">
        <v>241</v>
      </c>
      <c r="I25" s="99">
        <v>209.643941112768</v>
      </c>
      <c r="J25" s="99">
        <v>7.1060580981784</v>
      </c>
      <c r="K25" s="165">
        <v>-21.9568750643342</v>
      </c>
      <c r="L25" s="166">
        <v>-17.121896071917</v>
      </c>
    </row>
    <row r="26" spans="1:12" ht="12.75">
      <c r="A26" s="81" t="s">
        <v>22</v>
      </c>
      <c r="B26" s="99">
        <v>50.9111529989281</v>
      </c>
      <c r="C26" s="99">
        <v>51.1317521972575</v>
      </c>
      <c r="D26" s="99">
        <v>50.8921333009896</v>
      </c>
      <c r="E26" s="99">
        <v>55.066435336858</v>
      </c>
      <c r="F26" s="99">
        <v>25.1223712136058</v>
      </c>
      <c r="G26" s="99">
        <v>2.70116499561502</v>
      </c>
      <c r="H26" s="99">
        <v>0.132882472836051</v>
      </c>
      <c r="I26" s="99">
        <v>60.9029317351898</v>
      </c>
      <c r="J26" s="99">
        <v>8.65320045123411</v>
      </c>
      <c r="K26" s="165">
        <v>18.5586826337545</v>
      </c>
      <c r="L26" s="166">
        <v>17.3623269664066</v>
      </c>
    </row>
    <row r="27" spans="1:12" ht="12.75">
      <c r="A27" s="81" t="s">
        <v>10</v>
      </c>
      <c r="B27" s="99">
        <v>13.1895153593042</v>
      </c>
      <c r="C27" s="99">
        <v>7.96873406103118</v>
      </c>
      <c r="D27" s="99">
        <v>23.6661948456702</v>
      </c>
      <c r="E27" s="99">
        <v>24.6799424132775</v>
      </c>
      <c r="F27" s="99">
        <v>23.0480552483348</v>
      </c>
      <c r="G27" s="99">
        <v>1.43813831861566</v>
      </c>
      <c r="H27" s="99">
        <v>0.959682511346897</v>
      </c>
      <c r="I27" s="99">
        <v>37.1787619268467</v>
      </c>
      <c r="J27" s="99">
        <v>2.05866180140333</v>
      </c>
      <c r="K27" s="165">
        <v>26.9849629869502</v>
      </c>
      <c r="L27" s="166">
        <v>23.2649013054896</v>
      </c>
    </row>
    <row r="28" spans="1:12" ht="12.75">
      <c r="A28" s="81" t="s">
        <v>32</v>
      </c>
      <c r="B28" s="99">
        <v>3.92843354409826</v>
      </c>
      <c r="C28" s="99">
        <v>4.3281975111406</v>
      </c>
      <c r="D28" s="99">
        <v>-0.048871608355272</v>
      </c>
      <c r="E28" s="99">
        <v>22.8028883758641</v>
      </c>
      <c r="F28" s="99">
        <v>-5.0469290553676</v>
      </c>
      <c r="G28" s="99">
        <v>1.53163452301523</v>
      </c>
      <c r="H28" s="99">
        <v>0.667456651909206</v>
      </c>
      <c r="I28" s="99">
        <v>48.5911849508996</v>
      </c>
      <c r="J28" s="99">
        <v>1.70621250190973</v>
      </c>
      <c r="K28" s="165">
        <v>17.1840099718036</v>
      </c>
      <c r="L28" s="166">
        <v>14.9761806841379</v>
      </c>
    </row>
    <row r="29" spans="1:12" ht="12.75">
      <c r="A29" s="82" t="s">
        <v>21</v>
      </c>
      <c r="B29" s="101">
        <v>-3.224302428737</v>
      </c>
      <c r="C29" s="101">
        <v>-15.2178847546364</v>
      </c>
      <c r="D29" s="101">
        <v>19.3546681339343</v>
      </c>
      <c r="E29" s="101">
        <v>16.0410235751036</v>
      </c>
      <c r="F29" s="101">
        <v>20.5951452577777</v>
      </c>
      <c r="G29" s="101">
        <v>1.90810075577125</v>
      </c>
      <c r="H29" s="101">
        <v>1.78887891559278</v>
      </c>
      <c r="I29" s="101">
        <v>50.0040743204474</v>
      </c>
      <c r="J29" s="101">
        <v>2.21022578679998</v>
      </c>
      <c r="K29" s="167">
        <v>22.7961460527348</v>
      </c>
      <c r="L29" s="168">
        <v>20.2656149089001</v>
      </c>
    </row>
    <row r="30" spans="3:12" ht="12.75">
      <c r="C30" s="102"/>
      <c r="D30" s="102"/>
      <c r="E30" s="102"/>
      <c r="F30" s="102"/>
      <c r="G30" s="102"/>
      <c r="H30" s="102"/>
      <c r="I30" s="102"/>
      <c r="J30" s="102"/>
      <c r="K30" s="169"/>
      <c r="L30" s="170"/>
    </row>
    <row r="31" spans="1:12" ht="12.75">
      <c r="A31" s="78" t="s">
        <v>245</v>
      </c>
      <c r="B31" s="97">
        <v>14.1902944659849</v>
      </c>
      <c r="C31" s="97">
        <v>12.0571828003846</v>
      </c>
      <c r="D31" s="97">
        <v>16.3308353934678</v>
      </c>
      <c r="E31" s="97">
        <v>14.0470184607051</v>
      </c>
      <c r="F31" s="97">
        <v>16.9384267837077</v>
      </c>
      <c r="G31" s="97">
        <v>1.64289908035582</v>
      </c>
      <c r="H31" s="97">
        <v>0.711412747911287</v>
      </c>
      <c r="I31" s="97">
        <v>57.1150780899145</v>
      </c>
      <c r="J31" s="97">
        <v>2.75869585421656</v>
      </c>
      <c r="K31" s="162">
        <v>30.8496705185057</v>
      </c>
      <c r="L31" s="162">
        <v>11.6896590740601</v>
      </c>
    </row>
    <row r="32" spans="3:12" ht="12.75">
      <c r="C32" s="102"/>
      <c r="D32" s="102"/>
      <c r="E32" s="102"/>
      <c r="F32" s="102"/>
      <c r="G32" s="102"/>
      <c r="H32" s="102"/>
      <c r="I32" s="102"/>
      <c r="J32" s="102"/>
      <c r="K32" s="169"/>
      <c r="L32" s="170"/>
    </row>
    <row r="33" spans="1:12" ht="12.75">
      <c r="A33" s="78" t="s">
        <v>23</v>
      </c>
      <c r="B33" s="97">
        <v>13.0034478999134</v>
      </c>
      <c r="C33" s="97">
        <v>15.3513240492733</v>
      </c>
      <c r="D33" s="97">
        <v>9.16445117164926</v>
      </c>
      <c r="E33" s="97">
        <v>14.9280803254986</v>
      </c>
      <c r="F33" s="97">
        <v>-0.00315310547682746</v>
      </c>
      <c r="G33" s="97">
        <v>1.80028551664807</v>
      </c>
      <c r="H33" s="97">
        <v>0.814624275888568</v>
      </c>
      <c r="I33" s="97">
        <v>51.8847323452819</v>
      </c>
      <c r="J33" s="97">
        <v>4.07062883506352</v>
      </c>
      <c r="K33" s="162">
        <v>17.3732957709086</v>
      </c>
      <c r="L33" s="162">
        <v>15.8614116427981</v>
      </c>
    </row>
    <row r="34" spans="1:12" ht="12.75">
      <c r="A34" s="81" t="s">
        <v>34</v>
      </c>
      <c r="B34" s="99">
        <v>25.0880650055143</v>
      </c>
      <c r="C34" s="99">
        <v>34.8203257317728</v>
      </c>
      <c r="D34" s="99">
        <v>12.1832294933444</v>
      </c>
      <c r="E34" s="99">
        <v>14.3737485703081</v>
      </c>
      <c r="F34" s="99">
        <v>10.4740993814735</v>
      </c>
      <c r="G34" s="99">
        <v>1.73597292686112</v>
      </c>
      <c r="H34" s="99">
        <v>1.1283251497044</v>
      </c>
      <c r="I34" s="99">
        <v>49.741969171316</v>
      </c>
      <c r="J34" s="99">
        <v>3.42423497658456</v>
      </c>
      <c r="K34" s="163">
        <v>15.984857023451</v>
      </c>
      <c r="L34" s="166">
        <v>14.5550241914588</v>
      </c>
    </row>
    <row r="35" spans="1:12" ht="12.75">
      <c r="A35" s="81" t="s">
        <v>12</v>
      </c>
      <c r="B35" s="99">
        <v>-4.09642752127664</v>
      </c>
      <c r="C35" s="99">
        <v>-9.64093338621378</v>
      </c>
      <c r="D35" s="99">
        <v>5.71267838114984</v>
      </c>
      <c r="E35" s="99">
        <v>15.2801652980675</v>
      </c>
      <c r="F35" s="99">
        <v>-36.5023935790097</v>
      </c>
      <c r="G35" s="99">
        <v>2.08604339505714</v>
      </c>
      <c r="H35" s="99">
        <v>0.541657545005593</v>
      </c>
      <c r="I35" s="99">
        <v>62.4536805328599</v>
      </c>
      <c r="J35" s="99">
        <v>4.91994550228392</v>
      </c>
      <c r="K35" s="165">
        <v>18.3491939379785</v>
      </c>
      <c r="L35" s="166">
        <v>16.0079213102901</v>
      </c>
    </row>
    <row r="36" spans="1:12" ht="12.75">
      <c r="A36" s="81" t="s">
        <v>14</v>
      </c>
      <c r="B36" s="99">
        <v>-15.5954676505956</v>
      </c>
      <c r="C36" s="99">
        <v>-15.5930787552471</v>
      </c>
      <c r="D36" s="99">
        <v>-16.2934727834303</v>
      </c>
      <c r="E36" s="99">
        <v>-16.2934727834303</v>
      </c>
      <c r="F36" s="100" t="s">
        <v>241</v>
      </c>
      <c r="G36" s="99">
        <v>0.57735717881022</v>
      </c>
      <c r="H36" s="99">
        <v>0.134108308117966</v>
      </c>
      <c r="I36" s="100">
        <v>21.9945017070102</v>
      </c>
      <c r="J36" s="99">
        <v>3.38042476149221</v>
      </c>
      <c r="K36" s="165">
        <v>1.43892339065118</v>
      </c>
      <c r="L36" s="166">
        <v>1.43892339065118</v>
      </c>
    </row>
    <row r="37" spans="1:12" ht="12.75">
      <c r="A37" s="81" t="s">
        <v>13</v>
      </c>
      <c r="B37" s="99">
        <v>3.45388871975916</v>
      </c>
      <c r="C37" s="99">
        <v>3.48418705620779</v>
      </c>
      <c r="D37" s="99">
        <v>-34.3003360704874</v>
      </c>
      <c r="E37" s="99">
        <v>-34.3003360704874</v>
      </c>
      <c r="F37" s="100" t="s">
        <v>241</v>
      </c>
      <c r="G37" s="99">
        <v>0.926550166024889</v>
      </c>
      <c r="H37" s="99">
        <v>0.00499525212441225</v>
      </c>
      <c r="I37" s="99">
        <v>50.6548939140812</v>
      </c>
      <c r="J37" s="99">
        <v>3.91535979334585</v>
      </c>
      <c r="K37" s="165">
        <v>16.1904602973549</v>
      </c>
      <c r="L37" s="166">
        <v>13.6618495241754</v>
      </c>
    </row>
    <row r="38" spans="1:12" ht="12.75">
      <c r="A38" s="81" t="s">
        <v>256</v>
      </c>
      <c r="B38" s="99">
        <v>47.8022618410331</v>
      </c>
      <c r="C38" s="99">
        <v>47.8022624497343</v>
      </c>
      <c r="D38" s="100" t="s">
        <v>241</v>
      </c>
      <c r="E38" s="100" t="s">
        <v>241</v>
      </c>
      <c r="F38" s="100" t="s">
        <v>241</v>
      </c>
      <c r="G38" s="99">
        <v>0.326621791852528</v>
      </c>
      <c r="H38" s="99">
        <v>0</v>
      </c>
      <c r="I38" s="99">
        <v>58.4032742471208</v>
      </c>
      <c r="J38" s="99">
        <v>2.40854686858657</v>
      </c>
      <c r="K38" s="165">
        <v>8.07545478002871</v>
      </c>
      <c r="L38" s="166">
        <v>8.07545478002871</v>
      </c>
    </row>
    <row r="39" spans="1:12" ht="12.75">
      <c r="A39" s="82" t="s">
        <v>33</v>
      </c>
      <c r="B39" s="101">
        <v>11146.5312208537</v>
      </c>
      <c r="C39" s="101">
        <v>11146.5312208537</v>
      </c>
      <c r="D39" s="103" t="s">
        <v>241</v>
      </c>
      <c r="E39" s="103" t="s">
        <v>241</v>
      </c>
      <c r="F39" s="103" t="s">
        <v>241</v>
      </c>
      <c r="G39" s="101">
        <v>0.170833333333333</v>
      </c>
      <c r="H39" s="101">
        <v>0</v>
      </c>
      <c r="I39" s="101">
        <v>16.6836444441736</v>
      </c>
      <c r="J39" s="101">
        <v>2.10872114537126</v>
      </c>
      <c r="K39" s="167">
        <v>19.6440861811421</v>
      </c>
      <c r="L39" s="168">
        <v>19.3674497283909</v>
      </c>
    </row>
    <row r="40" spans="3:12" ht="12.75">
      <c r="C40" s="102"/>
      <c r="D40" s="102"/>
      <c r="E40" s="102"/>
      <c r="F40" s="102"/>
      <c r="G40" s="102"/>
      <c r="H40" s="102"/>
      <c r="I40" s="102"/>
      <c r="J40" s="102"/>
      <c r="K40" s="169"/>
      <c r="L40" s="170"/>
    </row>
    <row r="41" spans="1:12" ht="12.75">
      <c r="A41" s="77" t="s">
        <v>15</v>
      </c>
      <c r="B41" s="97">
        <v>13.3771454507372</v>
      </c>
      <c r="C41" s="97">
        <v>11.1454072565621</v>
      </c>
      <c r="D41" s="97">
        <v>18.2159717754683</v>
      </c>
      <c r="E41" s="97">
        <v>21.035694738307</v>
      </c>
      <c r="F41" s="97">
        <v>16.5919344425346</v>
      </c>
      <c r="G41" s="97">
        <v>1.62839844452757</v>
      </c>
      <c r="H41" s="97">
        <v>0.924404112711515</v>
      </c>
      <c r="I41" s="97">
        <v>47.1609533346169</v>
      </c>
      <c r="J41" s="97">
        <v>2.37692007637484</v>
      </c>
      <c r="K41" s="162">
        <v>22.561527106473</v>
      </c>
      <c r="L41" s="162">
        <v>18.3156829883416</v>
      </c>
    </row>
    <row r="42" spans="1:12" ht="12.75">
      <c r="A42" s="85"/>
      <c r="B42" s="86"/>
      <c r="C42" s="104"/>
      <c r="D42" s="104"/>
      <c r="E42" s="104"/>
      <c r="F42" s="104"/>
      <c r="G42" s="104"/>
      <c r="H42" s="104"/>
      <c r="I42" s="104"/>
      <c r="J42" s="104"/>
      <c r="K42" s="169"/>
      <c r="L42" s="171"/>
    </row>
    <row r="43" spans="1:12" ht="12.75">
      <c r="A43" s="3" t="s">
        <v>59</v>
      </c>
      <c r="B43" s="45"/>
      <c r="C43" s="45"/>
      <c r="D43" s="45"/>
      <c r="E43" s="45"/>
      <c r="F43" s="45"/>
      <c r="G43" s="45"/>
      <c r="H43" s="45"/>
      <c r="I43" s="45"/>
      <c r="J43" s="45"/>
      <c r="K43" s="105"/>
      <c r="L43" s="105"/>
    </row>
    <row r="44" ht="12.75">
      <c r="A44" s="3" t="s">
        <v>246</v>
      </c>
    </row>
    <row r="45" ht="12.75">
      <c r="A45" s="3" t="s">
        <v>247</v>
      </c>
    </row>
    <row r="46" ht="12.75">
      <c r="A46" s="3" t="s">
        <v>248</v>
      </c>
    </row>
    <row r="48" ht="12.75">
      <c r="A48" s="3" t="s">
        <v>102</v>
      </c>
    </row>
  </sheetData>
  <mergeCells count="7">
    <mergeCell ref="B7:F7"/>
    <mergeCell ref="A3:L3"/>
    <mergeCell ref="A4:L4"/>
    <mergeCell ref="K6:L6"/>
    <mergeCell ref="B6:F6"/>
    <mergeCell ref="G6:H6"/>
    <mergeCell ref="I6:J6"/>
  </mergeCells>
  <hyperlinks>
    <hyperlink ref="L1" location="Indice!A1" display="Volver"/>
  </hyperlinks>
  <printOptions horizontalCentered="1" verticalCentered="1"/>
  <pageMargins left="0.15748031496062992" right="0.15748031496062992" top="0.2755905511811024" bottom="0.1968503937007874" header="0.2755905511811024" footer="0"/>
  <pageSetup fitToHeight="1" fitToWidth="1" horizontalDpi="600" verticalDpi="600" orientation="landscape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A1">
      <selection activeCell="G1" sqref="G1"/>
    </sheetView>
  </sheetViews>
  <sheetFormatPr defaultColWidth="11.00390625" defaultRowHeight="12.75"/>
  <cols>
    <col min="1" max="1" width="69.375" style="3" bestFit="1" customWidth="1"/>
    <col min="2" max="2" width="28.875" style="3" bestFit="1" customWidth="1"/>
    <col min="3" max="16384" width="12.00390625" style="3" customWidth="1"/>
  </cols>
  <sheetData>
    <row r="1" spans="1:7" ht="12.75">
      <c r="A1" s="106" t="s">
        <v>140</v>
      </c>
      <c r="G1" s="110" t="s">
        <v>147</v>
      </c>
    </row>
    <row r="2" ht="12.75">
      <c r="A2" s="106" t="s">
        <v>141</v>
      </c>
    </row>
    <row r="3" ht="12.75">
      <c r="A3" s="106"/>
    </row>
    <row r="4" ht="12.75">
      <c r="A4" s="106"/>
    </row>
    <row r="5" ht="12.75">
      <c r="A5" s="106"/>
    </row>
    <row r="6" ht="12.75">
      <c r="A6" s="106"/>
    </row>
    <row r="7" ht="12.75">
      <c r="A7" s="106"/>
    </row>
    <row r="8" ht="15.75">
      <c r="A8" s="107" t="s">
        <v>111</v>
      </c>
    </row>
    <row r="10" spans="1:2" ht="12.75">
      <c r="A10" s="112" t="s">
        <v>151</v>
      </c>
      <c r="B10" s="112" t="s">
        <v>152</v>
      </c>
    </row>
    <row r="11" spans="1:2" ht="15.75">
      <c r="A11" s="111"/>
      <c r="B11" s="111"/>
    </row>
    <row r="12" spans="1:2" ht="12.75">
      <c r="A12" s="187" t="s">
        <v>86</v>
      </c>
      <c r="B12" s="188"/>
    </row>
    <row r="13" spans="1:2" ht="12.75">
      <c r="A13" s="113"/>
      <c r="B13" s="114"/>
    </row>
    <row r="14" spans="1:2" ht="12.75">
      <c r="A14" s="115" t="s">
        <v>86</v>
      </c>
      <c r="B14" s="116" t="s">
        <v>239</v>
      </c>
    </row>
    <row r="16" spans="1:2" ht="12.75">
      <c r="A16" s="187" t="s">
        <v>232</v>
      </c>
      <c r="B16" s="188"/>
    </row>
    <row r="17" spans="1:2" ht="12.75">
      <c r="A17" s="117"/>
      <c r="B17" s="118"/>
    </row>
    <row r="18" spans="1:2" ht="12.75">
      <c r="A18" s="119" t="s">
        <v>153</v>
      </c>
      <c r="B18" s="120">
        <v>1110</v>
      </c>
    </row>
    <row r="19" spans="1:2" ht="12.75">
      <c r="A19" s="119" t="str">
        <f>"+ Ptmos. comerciales (a más de 1 año)"</f>
        <v>+ Ptmos. comerciales (a más de 1 año)</v>
      </c>
      <c r="B19" s="121">
        <v>1205</v>
      </c>
    </row>
    <row r="20" spans="1:2" ht="12.75">
      <c r="A20" s="119" t="str">
        <f>"+ Ptmos. hipot. endosables para fines generales"</f>
        <v>+ Ptmos. hipot. endosables para fines generales</v>
      </c>
      <c r="B20" s="121">
        <v>1248</v>
      </c>
    </row>
    <row r="21" spans="1:2" ht="12.75">
      <c r="A21" s="119" t="str">
        <f>"+ Ptmos. fines generales en letras de crédito"</f>
        <v>+ Ptmos. fines generales en letras de crédito</v>
      </c>
      <c r="B21" s="121">
        <v>1305</v>
      </c>
    </row>
    <row r="22" spans="1:2" ht="12.75">
      <c r="A22" s="119" t="str">
        <f>"+ Deudores por boletas de garantía y consig. judic. (hasta 1 año)"</f>
        <v>+ Deudores por boletas de garantía y consig. judic. (hasta 1 año)</v>
      </c>
      <c r="B22" s="121">
        <v>1605</v>
      </c>
    </row>
    <row r="23" spans="1:2" ht="12.75">
      <c r="A23" s="119" t="str">
        <f>"+ Deudores por avales y fianzas (hasta 1 año)"</f>
        <v>+ Deudores por avales y fianzas (hasta 1 año)</v>
      </c>
      <c r="B23" s="121">
        <v>1610</v>
      </c>
    </row>
    <row r="24" spans="1:2" ht="12.75">
      <c r="A24" s="119" t="str">
        <f>"+ Deudores por boletas de garantía y consig. judic. (a más de 1 año)"</f>
        <v>+ Deudores por boletas de garantía y consig. judic. (a más de 1 año)</v>
      </c>
      <c r="B24" s="121">
        <v>1655</v>
      </c>
    </row>
    <row r="25" spans="1:2" ht="12.75">
      <c r="A25" s="119" t="str">
        <f>"+ Deudores por avales y fianzas (a más de 1 año)"</f>
        <v>+ Deudores por avales y fianzas (a más de 1 año)</v>
      </c>
      <c r="B25" s="121">
        <v>1660</v>
      </c>
    </row>
    <row r="26" spans="1:2" ht="12.75">
      <c r="A26" s="119" t="str">
        <f>"+ Créditos comerciales vencidos"</f>
        <v>+ Créditos comerciales vencidos</v>
      </c>
      <c r="B26" s="121">
        <v>1401</v>
      </c>
    </row>
    <row r="27" spans="1:2" ht="12.75">
      <c r="A27" s="119" t="str">
        <f>"+ Operaciones de factoraje"</f>
        <v>+ Operaciones de factoraje</v>
      </c>
      <c r="B27" s="121">
        <v>1135</v>
      </c>
    </row>
    <row r="28" spans="1:2" ht="12.75">
      <c r="A28" s="119" t="str">
        <f>"+ Operaciones de factoraje (vencidas)"</f>
        <v>+ Operaciones de factoraje (vencidas)</v>
      </c>
      <c r="B28" s="121">
        <v>1418</v>
      </c>
    </row>
    <row r="29" spans="1:2" ht="12.75">
      <c r="A29" s="119" t="str">
        <f>"+ Contratos de leasing comercial"</f>
        <v>+ Contratos de leasing comercial</v>
      </c>
      <c r="B29" s="121" t="s">
        <v>154</v>
      </c>
    </row>
    <row r="30" spans="1:2" ht="12.75">
      <c r="A30" s="122" t="str">
        <f>"+ Intereses diferidos leasing comercial"</f>
        <v>+ Intereses diferidos leasing comercial</v>
      </c>
      <c r="B30" s="123" t="s">
        <v>155</v>
      </c>
    </row>
    <row r="31" spans="1:2" ht="12.75">
      <c r="A31" s="122" t="str">
        <f>"+ IVA diferido leasing comercial"</f>
        <v>+ IVA diferido leasing comercial</v>
      </c>
      <c r="B31" s="123" t="s">
        <v>156</v>
      </c>
    </row>
    <row r="32" spans="1:2" ht="12.75">
      <c r="A32" s="119" t="str">
        <f>"+ Contratos de leasing comercial vencidos"</f>
        <v>+ Contratos de leasing comercial vencidos</v>
      </c>
      <c r="B32" s="121" t="s">
        <v>157</v>
      </c>
    </row>
    <row r="33" spans="1:2" ht="12.75">
      <c r="A33" s="119" t="str">
        <f>"+ Otros saldos de la partida 1350"</f>
        <v>+ Otros saldos de la partida 1350</v>
      </c>
      <c r="B33" s="124" t="s">
        <v>158</v>
      </c>
    </row>
    <row r="34" spans="1:2" ht="12.75">
      <c r="A34" s="119" t="str">
        <f>"+ Varios deudores"</f>
        <v>+ Varios deudores</v>
      </c>
      <c r="B34" s="121">
        <v>1140</v>
      </c>
    </row>
    <row r="35" spans="1:2" ht="12.75">
      <c r="A35" s="119" t="str">
        <f>"+ Ptmos. productivos reprogramados"</f>
        <v>+ Ptmos. productivos reprogramados</v>
      </c>
      <c r="B35" s="121">
        <v>1235</v>
      </c>
    </row>
    <row r="36" spans="1:2" ht="12.75">
      <c r="A36" s="119" t="s">
        <v>159</v>
      </c>
      <c r="B36" s="121">
        <v>1245</v>
      </c>
    </row>
    <row r="37" spans="1:2" ht="12.75">
      <c r="A37" s="119" t="str">
        <f>"+ Dividendos por cobrar"</f>
        <v>+ Dividendos por cobrar</v>
      </c>
      <c r="B37" s="121">
        <v>1315</v>
      </c>
    </row>
    <row r="38" spans="1:2" ht="12.75">
      <c r="A38" s="119" t="str">
        <f>"+ Créditos importación (hasta 1 año)"</f>
        <v>+ Créditos importación (hasta 1 año)</v>
      </c>
      <c r="B38" s="121">
        <v>1125</v>
      </c>
    </row>
    <row r="39" spans="1:2" ht="12.75">
      <c r="A39" s="119" t="str">
        <f>"+ Créditos exportación (hasta 1 año)"</f>
        <v>+ Créditos exportación (hasta 1 año)</v>
      </c>
      <c r="B39" s="121">
        <v>1130</v>
      </c>
    </row>
    <row r="40" spans="1:2" ht="12.75">
      <c r="A40" s="119" t="str">
        <f>"+ Créditos importación (a más de 1 año)"</f>
        <v>+ Créditos importación (a más de 1 año)</v>
      </c>
      <c r="B40" s="121">
        <v>1220</v>
      </c>
    </row>
    <row r="41" spans="1:2" ht="12.75">
      <c r="A41" s="119" t="str">
        <f>"+ Créditos exportación (a más de 1 año)"</f>
        <v>+ Créditos exportación (a más de 1 año)</v>
      </c>
      <c r="B41" s="121">
        <v>1225</v>
      </c>
    </row>
    <row r="42" spans="1:2" ht="12.75">
      <c r="A42" s="119" t="str">
        <f>"+ Deudores por carta de crédito simples o documentarias"</f>
        <v>+ Deudores por carta de crédito simples o documentarias</v>
      </c>
      <c r="B42" s="121">
        <v>1615</v>
      </c>
    </row>
    <row r="43" spans="1:2" ht="12.75">
      <c r="A43" s="119" t="str">
        <f>"+ Deudores por carta crédito del exterior confirmadas"</f>
        <v>+ Deudores por carta crédito del exterior confirmadas</v>
      </c>
      <c r="B43" s="121">
        <v>1620</v>
      </c>
    </row>
    <row r="44" spans="1:2" ht="12.75">
      <c r="A44" s="119" t="str">
        <f>"+ Ptmos. a instituciones financieras (hasta 1 año)"</f>
        <v>+ Ptmos. a instituciones financieras (hasta 1 año)</v>
      </c>
      <c r="B44" s="121">
        <v>1120</v>
      </c>
    </row>
    <row r="45" spans="1:2" ht="12.75">
      <c r="A45" s="115" t="str">
        <f>"+ Ptmos. a instituciones financieras (a más de 1 año)"</f>
        <v>+ Ptmos. a instituciones financieras (a más de 1 año)</v>
      </c>
      <c r="B45" s="125">
        <v>1215</v>
      </c>
    </row>
    <row r="47" spans="1:2" ht="12.75">
      <c r="A47" s="187" t="s">
        <v>160</v>
      </c>
      <c r="B47" s="188"/>
    </row>
    <row r="48" spans="1:2" ht="12.75">
      <c r="A48" s="118"/>
      <c r="B48" s="118"/>
    </row>
    <row r="49" spans="1:2" ht="12.75">
      <c r="A49" s="122" t="s">
        <v>153</v>
      </c>
      <c r="B49" s="120">
        <v>1110</v>
      </c>
    </row>
    <row r="50" spans="1:2" ht="12.75">
      <c r="A50" s="119" t="str">
        <f>"+ Ptmos. comerciales (a más de 1 año)"</f>
        <v>+ Ptmos. comerciales (a más de 1 año)</v>
      </c>
      <c r="B50" s="121">
        <v>1205</v>
      </c>
    </row>
    <row r="51" spans="1:2" ht="12.75">
      <c r="A51" s="119" t="str">
        <f>"+ Ptmos. hipot. endosables para fines generales"</f>
        <v>+ Ptmos. hipot. endosables para fines generales</v>
      </c>
      <c r="B51" s="121">
        <v>1248</v>
      </c>
    </row>
    <row r="52" spans="1:2" ht="12.75">
      <c r="A52" s="122" t="str">
        <f>"+ Ptmos. fines generales en letras de crédito"</f>
        <v>+ Ptmos. fines generales en letras de crédito</v>
      </c>
      <c r="B52" s="121">
        <v>1305</v>
      </c>
    </row>
    <row r="53" spans="1:2" ht="12.75">
      <c r="A53" s="119" t="str">
        <f>"+ Deudores por boletas de garantía y consig. judic. (hasta 1 año)"</f>
        <v>+ Deudores por boletas de garantía y consig. judic. (hasta 1 año)</v>
      </c>
      <c r="B53" s="121">
        <v>1605</v>
      </c>
    </row>
    <row r="54" spans="1:2" ht="12.75">
      <c r="A54" s="119" t="str">
        <f>"+ Deudores por avales y fianzas (hasta 1 año)"</f>
        <v>+ Deudores por avales y fianzas (hasta 1 año)</v>
      </c>
      <c r="B54" s="121">
        <v>1610</v>
      </c>
    </row>
    <row r="55" spans="1:2" ht="12.75">
      <c r="A55" s="119" t="str">
        <f>"+ Deudores por boletas de garantía y consig. judic. (a más de 1 año)"</f>
        <v>+ Deudores por boletas de garantía y consig. judic. (a más de 1 año)</v>
      </c>
      <c r="B55" s="121">
        <v>1655</v>
      </c>
    </row>
    <row r="56" spans="1:2" ht="12.75">
      <c r="A56" s="119" t="str">
        <f>"+ Deudores por avales y fianzas (a más de 1 año)"</f>
        <v>+ Deudores por avales y fianzas (a más de 1 año)</v>
      </c>
      <c r="B56" s="121">
        <v>1660</v>
      </c>
    </row>
    <row r="57" spans="1:2" ht="12.75">
      <c r="A57" s="122" t="str">
        <f>"+ Créditos comerciales vencidos"</f>
        <v>+ Créditos comerciales vencidos</v>
      </c>
      <c r="B57" s="121">
        <v>1401</v>
      </c>
    </row>
    <row r="58" spans="1:2" ht="12.75">
      <c r="A58" s="122" t="str">
        <f>"+ Operaciones de factoraje"</f>
        <v>+ Operaciones de factoraje</v>
      </c>
      <c r="B58" s="121">
        <v>1135</v>
      </c>
    </row>
    <row r="59" spans="1:2" ht="12.75">
      <c r="A59" s="122" t="str">
        <f>"+ Operaciones de factoraje (vencidas)"</f>
        <v>+ Operaciones de factoraje (vencidas)</v>
      </c>
      <c r="B59" s="121">
        <v>1418</v>
      </c>
    </row>
    <row r="60" spans="1:2" ht="12.75">
      <c r="A60" s="122" t="str">
        <f>"+ Contratos de leasing comercial"</f>
        <v>+ Contratos de leasing comercial</v>
      </c>
      <c r="B60" s="121" t="s">
        <v>154</v>
      </c>
    </row>
    <row r="61" spans="1:2" ht="12.75">
      <c r="A61" s="122" t="str">
        <f>"+ Intereses diferidos leasing comercial"</f>
        <v>+ Intereses diferidos leasing comercial</v>
      </c>
      <c r="B61" s="123" t="s">
        <v>155</v>
      </c>
    </row>
    <row r="62" spans="1:2" ht="12.75">
      <c r="A62" s="122" t="str">
        <f>"+ IVA diferido leasing comercial"</f>
        <v>+ IVA diferido leasing comercial</v>
      </c>
      <c r="B62" s="123" t="s">
        <v>156</v>
      </c>
    </row>
    <row r="63" spans="1:2" ht="12.75">
      <c r="A63" s="122" t="str">
        <f>"+ Contratos de leasing comercial vencidos"</f>
        <v>+ Contratos de leasing comercial vencidos</v>
      </c>
      <c r="B63" s="121" t="s">
        <v>157</v>
      </c>
    </row>
    <row r="64" spans="1:2" ht="12.75">
      <c r="A64" s="122" t="str">
        <f>"+ Otros saldos de la partida 1350"</f>
        <v>+ Otros saldos de la partida 1350</v>
      </c>
      <c r="B64" s="124" t="s">
        <v>158</v>
      </c>
    </row>
    <row r="65" spans="1:2" ht="12.75">
      <c r="A65" s="122" t="str">
        <f>"+ Varios deudores"</f>
        <v>+ Varios deudores</v>
      </c>
      <c r="B65" s="121">
        <v>1140</v>
      </c>
    </row>
    <row r="66" spans="1:2" ht="12.75">
      <c r="A66" s="122" t="str">
        <f>"+ Ptmos. productivos reprogramados"</f>
        <v>+ Ptmos. productivos reprogramados</v>
      </c>
      <c r="B66" s="121">
        <v>1235</v>
      </c>
    </row>
    <row r="67" spans="1:2" ht="12.75">
      <c r="A67" s="122" t="s">
        <v>159</v>
      </c>
      <c r="B67" s="121">
        <v>1245</v>
      </c>
    </row>
    <row r="68" spans="1:2" ht="12.75">
      <c r="A68" s="126" t="str">
        <f>"+ Dividendos por cobrar"</f>
        <v>+ Dividendos por cobrar</v>
      </c>
      <c r="B68" s="125">
        <v>1315</v>
      </c>
    </row>
    <row r="70" spans="1:2" ht="12.75">
      <c r="A70" s="187" t="s">
        <v>161</v>
      </c>
      <c r="B70" s="188"/>
    </row>
    <row r="71" spans="1:2" ht="12.75">
      <c r="A71" s="118"/>
      <c r="B71" s="118"/>
    </row>
    <row r="72" spans="1:2" ht="12.75">
      <c r="A72" s="122" t="s">
        <v>162</v>
      </c>
      <c r="B72" s="124">
        <v>1125</v>
      </c>
    </row>
    <row r="73" spans="1:2" ht="12.75">
      <c r="A73" s="122" t="str">
        <f>"+ Créditos exportación (hasta 1 año)"</f>
        <v>+ Créditos exportación (hasta 1 año)</v>
      </c>
      <c r="B73" s="121">
        <v>1130</v>
      </c>
    </row>
    <row r="74" spans="1:2" ht="12.75">
      <c r="A74" s="122" t="str">
        <f>"+ Créditos importación (a más de 1 año)"</f>
        <v>+ Créditos importación (a más de 1 año)</v>
      </c>
      <c r="B74" s="121">
        <v>1220</v>
      </c>
    </row>
    <row r="75" spans="1:2" ht="12.75">
      <c r="A75" s="122" t="str">
        <f>"+ Créditos exportación (a más de 1 año)"</f>
        <v>+ Créditos exportación (a más de 1 año)</v>
      </c>
      <c r="B75" s="121">
        <v>1225</v>
      </c>
    </row>
    <row r="76" spans="1:2" ht="12.75">
      <c r="A76" s="122" t="str">
        <f>"+ Deudores por carta de crédito simples o documentarias"</f>
        <v>+ Deudores por carta de crédito simples o documentarias</v>
      </c>
      <c r="B76" s="121">
        <v>1615</v>
      </c>
    </row>
    <row r="77" spans="1:2" ht="12.75">
      <c r="A77" s="126" t="str">
        <f>"+ Deudores por carta crédito del exterior confirmadas"</f>
        <v>+ Deudores por carta crédito del exterior confirmadas</v>
      </c>
      <c r="B77" s="125">
        <v>1620</v>
      </c>
    </row>
    <row r="79" spans="1:2" ht="12.75">
      <c r="A79" s="187" t="s">
        <v>163</v>
      </c>
      <c r="B79" s="188"/>
    </row>
    <row r="80" spans="1:2" ht="12.75">
      <c r="A80" s="117"/>
      <c r="B80" s="118"/>
    </row>
    <row r="81" spans="1:2" ht="12.75">
      <c r="A81" s="119" t="s">
        <v>164</v>
      </c>
      <c r="B81" s="120">
        <v>1120</v>
      </c>
    </row>
    <row r="82" spans="1:2" ht="12.75">
      <c r="A82" s="115" t="str">
        <f>"+ Ptmos. a instituciones Financieras (a más de 1 año)"</f>
        <v>+ Ptmos. a instituciones Financieras (a más de 1 año)</v>
      </c>
      <c r="B82" s="125">
        <v>1215</v>
      </c>
    </row>
    <row r="84" spans="1:2" ht="12.75">
      <c r="A84" s="187" t="s">
        <v>165</v>
      </c>
      <c r="B84" s="188"/>
    </row>
    <row r="85" spans="1:2" ht="12.75">
      <c r="A85" s="117"/>
      <c r="B85" s="118"/>
    </row>
    <row r="86" spans="1:2" ht="12.75">
      <c r="A86" s="119" t="s">
        <v>166</v>
      </c>
      <c r="B86" s="124">
        <v>1115</v>
      </c>
    </row>
    <row r="87" spans="1:2" ht="12.75">
      <c r="A87" s="119" t="str">
        <f>"+ Ptmos. de consumo (a más de 1 año)"</f>
        <v>+ Ptmos. de consumo (a más de 1 año)</v>
      </c>
      <c r="B87" s="121">
        <v>1210</v>
      </c>
    </row>
    <row r="88" spans="1:2" ht="12.75">
      <c r="A88" s="119" t="str">
        <f>"+ Créditos de consumo vencidos"</f>
        <v>+ Créditos de consumo vencidos</v>
      </c>
      <c r="B88" s="121">
        <v>1411</v>
      </c>
    </row>
    <row r="89" spans="1:2" ht="12.75">
      <c r="A89" s="119" t="str">
        <f>"+ Contratos de leasing de consumo"</f>
        <v>+ Contratos de leasing de consumo</v>
      </c>
      <c r="B89" s="121" t="s">
        <v>167</v>
      </c>
    </row>
    <row r="90" spans="1:2" ht="12.75">
      <c r="A90" s="122" t="str">
        <f>"+ Intereses diferidos leasing  de consumo"</f>
        <v>+ Intereses diferidos leasing  de consumo</v>
      </c>
      <c r="B90" s="123" t="s">
        <v>168</v>
      </c>
    </row>
    <row r="91" spans="1:2" ht="12.75">
      <c r="A91" s="122" t="str">
        <f>"+ IVA diferido leasing de consumo"</f>
        <v>+ IVA diferido leasing de consumo</v>
      </c>
      <c r="B91" s="123" t="s">
        <v>169</v>
      </c>
    </row>
    <row r="92" spans="1:2" ht="12.75">
      <c r="A92" s="119" t="str">
        <f>"+ Contratos de leasing consumo vencidos"</f>
        <v>+ Contratos de leasing consumo vencidos</v>
      </c>
      <c r="B92" s="121" t="s">
        <v>170</v>
      </c>
    </row>
    <row r="93" spans="1:2" ht="12.75">
      <c r="A93" s="119" t="str">
        <f>"+ Créditos hipotecarios para vivienda"</f>
        <v>+ Créditos hipotecarios para vivienda</v>
      </c>
      <c r="B93" s="121">
        <v>1246</v>
      </c>
    </row>
    <row r="94" spans="1:2" ht="12.75">
      <c r="A94" s="119" t="s">
        <v>171</v>
      </c>
      <c r="B94" s="121">
        <v>1247</v>
      </c>
    </row>
    <row r="95" spans="1:2" ht="12.75">
      <c r="A95" s="119" t="str">
        <f>"+ Ptmos. para vivienda en letras de crédito"</f>
        <v>+ Ptmos. para vivienda en letras de crédito</v>
      </c>
      <c r="B95" s="121">
        <v>1310</v>
      </c>
    </row>
    <row r="96" spans="1:2" ht="12.75">
      <c r="A96" s="119" t="str">
        <f>"+ Créditos hipotecarios para vivienda vencidos"</f>
        <v>+ Créditos hipotecarios para vivienda vencidos</v>
      </c>
      <c r="B96" s="121">
        <v>1416</v>
      </c>
    </row>
    <row r="97" spans="1:2" ht="12.75">
      <c r="A97" s="119" t="str">
        <f>"+ Contratos de leasing de vivienda"</f>
        <v>+ Contratos de leasing de vivienda</v>
      </c>
      <c r="B97" s="121" t="s">
        <v>172</v>
      </c>
    </row>
    <row r="98" spans="1:2" ht="12.75">
      <c r="A98" s="122" t="str">
        <f>"+ Intereses diferidos leasing de vivienda"</f>
        <v>+ Intereses diferidos leasing de vivienda</v>
      </c>
      <c r="B98" s="123" t="s">
        <v>173</v>
      </c>
    </row>
    <row r="99" spans="1:2" ht="12.75">
      <c r="A99" s="122" t="str">
        <f>"+ IVA diferido leasing de vivienda"</f>
        <v>+ IVA diferido leasing de vivienda</v>
      </c>
      <c r="B99" s="123" t="s">
        <v>174</v>
      </c>
    </row>
    <row r="100" spans="1:2" ht="12.75">
      <c r="A100" s="115" t="str">
        <f>"+ Contratos de leasing de vivienda vencidos"</f>
        <v>+ Contratos de leasing de vivienda vencidos</v>
      </c>
      <c r="B100" s="125" t="s">
        <v>175</v>
      </c>
    </row>
    <row r="102" spans="1:2" ht="12.75">
      <c r="A102" s="187" t="s">
        <v>233</v>
      </c>
      <c r="B102" s="188"/>
    </row>
    <row r="103" spans="1:2" ht="12.75">
      <c r="A103" s="118"/>
      <c r="B103" s="118"/>
    </row>
    <row r="104" spans="1:2" ht="12.75">
      <c r="A104" s="122" t="s">
        <v>166</v>
      </c>
      <c r="B104" s="124">
        <v>1115</v>
      </c>
    </row>
    <row r="105" spans="1:2" ht="12.75">
      <c r="A105" s="122" t="str">
        <f>"+ Ptmos. de consumo (a más de 1 año)"</f>
        <v>+ Ptmos. de consumo (a más de 1 año)</v>
      </c>
      <c r="B105" s="121">
        <v>1210</v>
      </c>
    </row>
    <row r="106" spans="1:2" ht="12.75">
      <c r="A106" s="122" t="str">
        <f>"+ Créditos de consumo vencidos"</f>
        <v>+ Créditos de consumo vencidos</v>
      </c>
      <c r="B106" s="121">
        <v>1411</v>
      </c>
    </row>
    <row r="107" spans="1:2" ht="12.75">
      <c r="A107" s="122" t="str">
        <f>"+ Contratos de leasing de consumo"</f>
        <v>+ Contratos de leasing de consumo</v>
      </c>
      <c r="B107" s="121" t="s">
        <v>167</v>
      </c>
    </row>
    <row r="108" spans="1:2" ht="12.75">
      <c r="A108" s="122" t="str">
        <f>"+ Intereses diferidos leasing  de consumo"</f>
        <v>+ Intereses diferidos leasing  de consumo</v>
      </c>
      <c r="B108" s="124" t="s">
        <v>168</v>
      </c>
    </row>
    <row r="109" spans="1:2" ht="12.75">
      <c r="A109" s="122" t="str">
        <f>"+ IVA diferido leasing de consumo"</f>
        <v>+ IVA diferido leasing de consumo</v>
      </c>
      <c r="B109" s="124" t="s">
        <v>169</v>
      </c>
    </row>
    <row r="110" spans="1:2" ht="12.75">
      <c r="A110" s="126" t="str">
        <f>"+ Contratos de leasing consumo vencidos"</f>
        <v>+ Contratos de leasing consumo vencidos</v>
      </c>
      <c r="B110" s="125" t="s">
        <v>170</v>
      </c>
    </row>
    <row r="112" spans="1:2" ht="12.75">
      <c r="A112" s="187" t="s">
        <v>234</v>
      </c>
      <c r="B112" s="188"/>
    </row>
    <row r="113" spans="1:2" ht="12.75">
      <c r="A113" s="117"/>
      <c r="B113" s="118"/>
    </row>
    <row r="114" spans="1:2" ht="12.75">
      <c r="A114" s="119" t="s">
        <v>176</v>
      </c>
      <c r="B114" s="124">
        <v>1246</v>
      </c>
    </row>
    <row r="115" spans="1:2" ht="12.75">
      <c r="A115" s="119" t="s">
        <v>171</v>
      </c>
      <c r="B115" s="121">
        <v>1247</v>
      </c>
    </row>
    <row r="116" spans="1:2" ht="12.75">
      <c r="A116" s="119" t="str">
        <f>"+ Ptmos. para vivienda en letras de crédito"</f>
        <v>+ Ptmos. para vivienda en letras de crédito</v>
      </c>
      <c r="B116" s="121">
        <v>1310</v>
      </c>
    </row>
    <row r="117" spans="1:2" ht="12.75">
      <c r="A117" s="119" t="str">
        <f>"+ Créditos hipotecarios para vivienda vencidos"</f>
        <v>+ Créditos hipotecarios para vivienda vencidos</v>
      </c>
      <c r="B117" s="121">
        <v>1416</v>
      </c>
    </row>
    <row r="118" spans="1:2" ht="12.75">
      <c r="A118" s="119" t="str">
        <f>"+ Contratos de leasing de vivienda"</f>
        <v>+ Contratos de leasing de vivienda</v>
      </c>
      <c r="B118" s="121" t="s">
        <v>172</v>
      </c>
    </row>
    <row r="119" spans="1:2" ht="12.75">
      <c r="A119" s="122" t="str">
        <f>"+ Intereses diferidos leasing de vivienda"</f>
        <v>+ Intereses diferidos leasing de vivienda</v>
      </c>
      <c r="B119" s="123" t="s">
        <v>173</v>
      </c>
    </row>
    <row r="120" spans="1:2" ht="12.75">
      <c r="A120" s="122" t="str">
        <f>"+ IVA diferido leasing de vivienda"</f>
        <v>+ IVA diferido leasing de vivienda</v>
      </c>
      <c r="B120" s="123" t="s">
        <v>174</v>
      </c>
    </row>
    <row r="121" spans="1:2" ht="12.75">
      <c r="A121" s="115" t="str">
        <f>"+ Contratos de leasing de vivienda vencidos"</f>
        <v>+ Contratos de leasing de vivienda vencidos</v>
      </c>
      <c r="B121" s="125" t="s">
        <v>175</v>
      </c>
    </row>
    <row r="122" spans="1:2" ht="12.75">
      <c r="A122" s="33"/>
      <c r="B122" s="127"/>
    </row>
    <row r="123" spans="1:2" ht="12.75">
      <c r="A123" s="187" t="s">
        <v>69</v>
      </c>
      <c r="B123" s="188"/>
    </row>
    <row r="124" spans="1:2" ht="12.75">
      <c r="A124" s="113"/>
      <c r="B124" s="114"/>
    </row>
    <row r="125" spans="1:2" ht="12.75">
      <c r="A125" s="115" t="s">
        <v>69</v>
      </c>
      <c r="B125" s="116" t="s">
        <v>177</v>
      </c>
    </row>
    <row r="126" ht="12.75">
      <c r="A126" s="6"/>
    </row>
    <row r="127" spans="1:2" ht="12.75">
      <c r="A127" s="187" t="s">
        <v>70</v>
      </c>
      <c r="B127" s="188"/>
    </row>
    <row r="128" spans="1:2" ht="12.75">
      <c r="A128" s="113"/>
      <c r="B128" s="114"/>
    </row>
    <row r="129" spans="1:2" ht="12.75">
      <c r="A129" s="119" t="s">
        <v>178</v>
      </c>
      <c r="B129" s="124" t="s">
        <v>179</v>
      </c>
    </row>
    <row r="130" spans="1:2" ht="12.75">
      <c r="A130" s="119" t="str">
        <f>"- Cuentas ajuste control pasivo"</f>
        <v>- Cuentas ajuste control pasivo</v>
      </c>
      <c r="B130" s="124" t="str">
        <f>"- (4505 a 4525)"</f>
        <v>- (4505 a 4525)</v>
      </c>
    </row>
    <row r="131" spans="1:2" ht="12.75">
      <c r="A131" s="119" t="str">
        <f>"- Documentos a cargo de otros bancos (canje)"</f>
        <v>- Documentos a cargo de otros bancos (canje)</v>
      </c>
      <c r="B131" s="124" t="str">
        <f>"- 1015"</f>
        <v>- 1015</v>
      </c>
    </row>
    <row r="132" spans="1:2" ht="12.75">
      <c r="A132" s="115" t="str">
        <f>"- Operaciones a futuro pasivo"</f>
        <v>- Operaciones a futuro pasivo</v>
      </c>
      <c r="B132" s="128">
        <v>4127</v>
      </c>
    </row>
    <row r="133" ht="12.75">
      <c r="A133" s="6"/>
    </row>
    <row r="134" spans="1:2" ht="12.75">
      <c r="A134" s="187" t="s">
        <v>71</v>
      </c>
      <c r="B134" s="188"/>
    </row>
    <row r="135" spans="1:2" ht="12.75">
      <c r="A135" s="117"/>
      <c r="B135" s="118"/>
    </row>
    <row r="136" spans="1:2" ht="12.75">
      <c r="A136" s="119" t="s">
        <v>180</v>
      </c>
      <c r="B136" s="122">
        <v>3005</v>
      </c>
    </row>
    <row r="137" spans="1:2" ht="12.75">
      <c r="A137" s="119" t="str">
        <f>"+ Otros saldos acreedores a la vista"</f>
        <v>+ Otros saldos acreedores a la vista</v>
      </c>
      <c r="B137" s="129">
        <v>3010</v>
      </c>
    </row>
    <row r="138" spans="1:2" ht="12.75">
      <c r="A138" s="119" t="str">
        <f>"+ Cuentas de depósito a la vista"</f>
        <v>+ Cuentas de depósito a la vista</v>
      </c>
      <c r="B138" s="129">
        <v>3015</v>
      </c>
    </row>
    <row r="139" spans="1:2" ht="12.75">
      <c r="A139" s="119" t="str">
        <f>"- Documentos a cargo de otros bancos (canje)"</f>
        <v>- Documentos a cargo de otros bancos (canje)</v>
      </c>
      <c r="B139" s="130">
        <v>1015</v>
      </c>
    </row>
    <row r="140" spans="1:2" ht="12.75">
      <c r="A140" s="119" t="str">
        <f>"+ Depósitos y captaciones a plazo 30 a 89 días"</f>
        <v>+ Depósitos y captaciones a plazo 30 a 89 días</v>
      </c>
      <c r="B140" s="129">
        <v>3020</v>
      </c>
    </row>
    <row r="141" spans="1:2" ht="12.75">
      <c r="A141" s="119" t="str">
        <f>"+ Depósitos y captaciones a plazo 90 días a 1 año"</f>
        <v>+ Depósitos y captaciones a plazo 90 días a 1 año</v>
      </c>
      <c r="B141" s="129">
        <v>3025</v>
      </c>
    </row>
    <row r="142" spans="1:2" ht="12.75">
      <c r="A142" s="119" t="str">
        <f>"+ Otros saldos acreedores a plazo"</f>
        <v>+ Otros saldos acreedores a plazo</v>
      </c>
      <c r="B142" s="129">
        <v>3030</v>
      </c>
    </row>
    <row r="143" spans="1:2" ht="12.75">
      <c r="A143" s="119" t="str">
        <f>"+ Depósitos de ahorro a plazo"</f>
        <v>+ Depósitos de ahorro a plazo</v>
      </c>
      <c r="B143" s="129">
        <v>3035</v>
      </c>
    </row>
    <row r="144" spans="1:2" ht="12.75">
      <c r="A144" s="115" t="str">
        <f>"+ Depósitos y captaciones (a más de 1 año)"</f>
        <v>+ Depósitos y captaciones (a más de 1 año)</v>
      </c>
      <c r="B144" s="131">
        <v>3065</v>
      </c>
    </row>
    <row r="146" spans="1:2" ht="12.75">
      <c r="A146" s="187" t="s">
        <v>235</v>
      </c>
      <c r="B146" s="188"/>
    </row>
    <row r="147" spans="1:2" ht="12.75">
      <c r="A147" s="132"/>
      <c r="B147" s="133"/>
    </row>
    <row r="148" spans="1:2" ht="12.75">
      <c r="A148" s="122" t="s">
        <v>180</v>
      </c>
      <c r="B148" s="122">
        <v>3005</v>
      </c>
    </row>
    <row r="149" spans="1:2" ht="12.75">
      <c r="A149" s="122" t="str">
        <f>"+ Otros saldos acreedores a la vista"</f>
        <v>+ Otros saldos acreedores a la vista</v>
      </c>
      <c r="B149" s="129">
        <v>3010</v>
      </c>
    </row>
    <row r="150" spans="1:2" ht="12.75">
      <c r="A150" s="122" t="str">
        <f>"+ Cuentas de depósito a la vista"</f>
        <v>+ Cuentas de depósito a la vista</v>
      </c>
      <c r="B150" s="129">
        <v>3015</v>
      </c>
    </row>
    <row r="151" spans="1:2" ht="12.75">
      <c r="A151" s="126" t="str">
        <f>"- Documentos a cargo de otros bancos (canje)"</f>
        <v>- Documentos a cargo de otros bancos (canje)</v>
      </c>
      <c r="B151" s="134">
        <v>1015</v>
      </c>
    </row>
    <row r="153" spans="1:2" ht="12.75">
      <c r="A153" s="187" t="s">
        <v>181</v>
      </c>
      <c r="B153" s="188"/>
    </row>
    <row r="154" spans="1:2" ht="12.75">
      <c r="A154" s="135"/>
      <c r="B154" s="118"/>
    </row>
    <row r="155" spans="1:2" ht="12.75">
      <c r="A155" s="119" t="str">
        <f>"   Depósitos y captaciones a plazo 30 a 89 días"</f>
        <v>   Depósitos y captaciones a plazo 30 a 89 días</v>
      </c>
      <c r="B155" s="122">
        <v>3020</v>
      </c>
    </row>
    <row r="156" spans="1:2" ht="12.75">
      <c r="A156" s="119" t="str">
        <f>"+ Depósitos y captaciones a plazo 90 días a 1 año"</f>
        <v>+ Depósitos y captaciones a plazo 90 días a 1 año</v>
      </c>
      <c r="B156" s="129">
        <v>3025</v>
      </c>
    </row>
    <row r="157" spans="1:2" ht="12.75">
      <c r="A157" s="119" t="str">
        <f>"+ Otros saldos acreedores a plazo"</f>
        <v>+ Otros saldos acreedores a plazo</v>
      </c>
      <c r="B157" s="129">
        <v>3030</v>
      </c>
    </row>
    <row r="158" spans="1:2" ht="12.75">
      <c r="A158" s="119" t="str">
        <f>"+ Depósitos de ahorro a plazo"</f>
        <v>+ Depósitos de ahorro a plazo</v>
      </c>
      <c r="B158" s="129">
        <v>3035</v>
      </c>
    </row>
    <row r="159" spans="1:2" ht="12.75">
      <c r="A159" s="115" t="str">
        <f>"+ Depósitos y captaciones (a más de 1 año)"</f>
        <v>+ Depósitos y captaciones (a más de 1 año)</v>
      </c>
      <c r="B159" s="131">
        <v>3065</v>
      </c>
    </row>
    <row r="161" spans="1:2" ht="12.75">
      <c r="A161" s="187" t="s">
        <v>112</v>
      </c>
      <c r="B161" s="188"/>
    </row>
    <row r="162" spans="1:2" ht="12.75">
      <c r="A162" s="117"/>
      <c r="B162" s="118"/>
    </row>
    <row r="163" spans="1:2" ht="12.75">
      <c r="A163" s="119" t="s">
        <v>182</v>
      </c>
      <c r="B163" s="124" t="s">
        <v>183</v>
      </c>
    </row>
    <row r="164" spans="1:2" ht="12.75">
      <c r="A164" s="115" t="str">
        <f>"+ Cartas de crédito simples o documentarias"</f>
        <v>+ Cartas de crédito simples o documentarias</v>
      </c>
      <c r="B164" s="131">
        <v>3615</v>
      </c>
    </row>
    <row r="166" spans="1:2" ht="12.75">
      <c r="A166" s="187" t="s">
        <v>113</v>
      </c>
      <c r="B166" s="188"/>
    </row>
    <row r="167" spans="1:2" ht="12.75">
      <c r="A167" s="118"/>
      <c r="B167" s="118"/>
    </row>
    <row r="168" spans="1:2" ht="12.75">
      <c r="A168" s="122" t="str">
        <f>"Obligaciones con letras  de crédito"</f>
        <v>Obligaciones con letras  de crédito</v>
      </c>
      <c r="B168" s="124" t="s">
        <v>184</v>
      </c>
    </row>
    <row r="169" spans="1:2" ht="12.75">
      <c r="A169" s="122" t="str">
        <f>" + Obligaciones por bonos (ordinarios)"</f>
        <v> + Obligaciones por bonos (ordinarios)</v>
      </c>
      <c r="B169" s="129">
        <v>3075</v>
      </c>
    </row>
    <row r="170" spans="1:2" ht="12.75">
      <c r="A170" s="126" t="s">
        <v>185</v>
      </c>
      <c r="B170" s="131">
        <v>4190</v>
      </c>
    </row>
    <row r="172" spans="1:2" ht="12.75">
      <c r="A172" s="187" t="s">
        <v>186</v>
      </c>
      <c r="B172" s="188"/>
    </row>
    <row r="173" spans="1:2" ht="12.75">
      <c r="A173" s="114"/>
      <c r="B173" s="114"/>
    </row>
    <row r="174" spans="1:2" ht="12.75">
      <c r="A174" s="126" t="str">
        <f>"Obligaciones con letras  de crédito"</f>
        <v>Obligaciones con letras  de crédito</v>
      </c>
      <c r="B174" s="116" t="s">
        <v>184</v>
      </c>
    </row>
    <row r="176" spans="1:2" ht="12.75">
      <c r="A176" s="187" t="s">
        <v>187</v>
      </c>
      <c r="B176" s="188"/>
    </row>
    <row r="177" spans="1:2" ht="12.75">
      <c r="A177" s="118"/>
      <c r="B177" s="118"/>
    </row>
    <row r="178" spans="1:2" ht="12.75">
      <c r="A178" s="126" t="str">
        <f>"Obligaciones por bonos (ordinarios)"</f>
        <v>Obligaciones por bonos (ordinarios)</v>
      </c>
      <c r="B178" s="136">
        <v>3075</v>
      </c>
    </row>
    <row r="180" spans="1:2" ht="12.75">
      <c r="A180" s="187" t="s">
        <v>188</v>
      </c>
      <c r="B180" s="188"/>
    </row>
    <row r="181" spans="1:2" ht="12.75">
      <c r="A181" s="117"/>
      <c r="B181" s="137"/>
    </row>
    <row r="182" spans="1:2" ht="12.75">
      <c r="A182" s="115" t="s">
        <v>188</v>
      </c>
      <c r="B182" s="126">
        <v>4190</v>
      </c>
    </row>
    <row r="184" spans="1:2" ht="12.75">
      <c r="A184" s="187" t="s">
        <v>72</v>
      </c>
      <c r="B184" s="188"/>
    </row>
    <row r="185" spans="1:2" ht="12.75">
      <c r="A185" s="118"/>
      <c r="B185" s="137"/>
    </row>
    <row r="186" spans="1:2" ht="12.75">
      <c r="A186" s="126" t="s">
        <v>72</v>
      </c>
      <c r="B186" s="116" t="s">
        <v>189</v>
      </c>
    </row>
    <row r="188" spans="1:2" ht="12.75">
      <c r="A188" s="187" t="s">
        <v>75</v>
      </c>
      <c r="B188" s="188"/>
    </row>
    <row r="189" spans="1:2" ht="12.75">
      <c r="A189" s="118"/>
      <c r="B189" s="137"/>
    </row>
    <row r="190" spans="1:2" ht="12.75">
      <c r="A190" s="115" t="s">
        <v>75</v>
      </c>
      <c r="B190" s="116" t="s">
        <v>190</v>
      </c>
    </row>
    <row r="192" spans="1:2" ht="12.75">
      <c r="A192" s="187" t="s">
        <v>74</v>
      </c>
      <c r="B192" s="188"/>
    </row>
    <row r="193" spans="1:2" ht="12.75">
      <c r="A193" s="118"/>
      <c r="B193" s="137"/>
    </row>
    <row r="194" spans="1:2" ht="12.75">
      <c r="A194" s="122" t="s">
        <v>191</v>
      </c>
      <c r="B194" s="124">
        <v>1350</v>
      </c>
    </row>
    <row r="195" spans="1:2" ht="12.75">
      <c r="A195" s="126" t="str">
        <f>"+ contratos de leasing vencidos"</f>
        <v>+ contratos de leasing vencidos</v>
      </c>
      <c r="B195" s="131">
        <v>1421</v>
      </c>
    </row>
    <row r="196" spans="1:2" ht="12.75">
      <c r="A196" s="6"/>
      <c r="B196" s="138"/>
    </row>
    <row r="197" spans="1:2" ht="12.75">
      <c r="A197" s="187" t="s">
        <v>92</v>
      </c>
      <c r="B197" s="188"/>
    </row>
    <row r="198" spans="1:2" ht="12.75">
      <c r="A198" s="118"/>
      <c r="B198" s="137"/>
    </row>
    <row r="199" spans="1:2" ht="12.75">
      <c r="A199" s="122" t="s">
        <v>192</v>
      </c>
      <c r="B199" s="121">
        <v>1135</v>
      </c>
    </row>
    <row r="200" spans="1:2" ht="12.75">
      <c r="A200" s="126" t="str">
        <f>"+ Operaciones de factoraje vencidas"</f>
        <v>+ Operaciones de factoraje vencidas</v>
      </c>
      <c r="B200" s="125">
        <v>1418</v>
      </c>
    </row>
    <row r="202" spans="1:2" ht="12.75">
      <c r="A202" s="187" t="s">
        <v>73</v>
      </c>
      <c r="B202" s="188"/>
    </row>
    <row r="203" spans="1:2" ht="12.75">
      <c r="A203" s="118"/>
      <c r="B203" s="118"/>
    </row>
    <row r="204" spans="1:2" ht="12.75">
      <c r="A204" s="122" t="str">
        <f>"   Deudores por boletas de garantía y consig. judic. (hasta 1 año)"</f>
        <v>   Deudores por boletas de garantía y consig. judic. (hasta 1 año)</v>
      </c>
      <c r="B204" s="120">
        <v>1605</v>
      </c>
    </row>
    <row r="205" spans="1:2" ht="12.75">
      <c r="A205" s="122" t="str">
        <f>"+ Deudores por avales y fianzas (hasta 1 año)"</f>
        <v>+ Deudores por avales y fianzas (hasta 1 año)</v>
      </c>
      <c r="B205" s="121">
        <v>1610</v>
      </c>
    </row>
    <row r="206" spans="1:2" ht="12.75">
      <c r="A206" s="122" t="str">
        <f>"+ Deudores por carta crédito simples y documentarias"</f>
        <v>+ Deudores por carta crédito simples y documentarias</v>
      </c>
      <c r="B206" s="121">
        <v>1615</v>
      </c>
    </row>
    <row r="207" spans="1:2" ht="12.75">
      <c r="A207" s="122" t="str">
        <f>"+ Deudores por carta crédito del exterior confirmadas"</f>
        <v>+ Deudores por carta crédito del exterior confirmadas</v>
      </c>
      <c r="B207" s="121">
        <v>1620</v>
      </c>
    </row>
    <row r="208" spans="1:2" ht="12.75">
      <c r="A208" s="122" t="str">
        <f>"+ Deudores por boletas de garantía y consig. judic. (a más de 1 año)"</f>
        <v>+ Deudores por boletas de garantía y consig. judic. (a más de 1 año)</v>
      </c>
      <c r="B208" s="121">
        <v>1655</v>
      </c>
    </row>
    <row r="209" spans="1:2" ht="12.75">
      <c r="A209" s="126" t="str">
        <f>"+ Deudores por avales y fianzas (a más de 1 año)"</f>
        <v>+ Deudores por avales y fianzas (a más de 1 año)</v>
      </c>
      <c r="B209" s="125">
        <v>1660</v>
      </c>
    </row>
    <row r="212" spans="1:2" ht="12.75">
      <c r="A212" s="187" t="s">
        <v>76</v>
      </c>
      <c r="B212" s="188"/>
    </row>
    <row r="213" spans="1:2" ht="12.75">
      <c r="A213" s="117"/>
      <c r="B213" s="118"/>
    </row>
    <row r="214" spans="1:2" ht="12.75">
      <c r="A214" s="115" t="s">
        <v>76</v>
      </c>
      <c r="B214" s="116" t="s">
        <v>240</v>
      </c>
    </row>
    <row r="215" spans="1:2" ht="12.75">
      <c r="A215" s="6"/>
      <c r="B215" s="139"/>
    </row>
    <row r="217" spans="1:2" ht="12.75">
      <c r="A217" s="187" t="s">
        <v>193</v>
      </c>
      <c r="B217" s="188"/>
    </row>
    <row r="218" spans="1:2" ht="12.75">
      <c r="A218" s="117"/>
      <c r="B218" s="118"/>
    </row>
    <row r="219" spans="1:2" ht="12.75">
      <c r="A219" s="119" t="s">
        <v>194</v>
      </c>
      <c r="B219" s="124" t="s">
        <v>195</v>
      </c>
    </row>
    <row r="220" spans="1:2" ht="12.75">
      <c r="A220" s="119" t="str">
        <f>"+ Reajustes percibidos y devengados"</f>
        <v>+ Reajustes percibidos y devengados</v>
      </c>
      <c r="B220" s="124" t="s">
        <v>196</v>
      </c>
    </row>
    <row r="221" spans="1:2" ht="12.75">
      <c r="A221" s="119" t="str">
        <f>"- Intereses pagados y devengados"</f>
        <v>- Intereses pagados y devengados</v>
      </c>
      <c r="B221" s="124" t="s">
        <v>197</v>
      </c>
    </row>
    <row r="222" spans="1:2" ht="12.75">
      <c r="A222" s="119" t="str">
        <f>"- Reajustes pagados y devengados"</f>
        <v>- Reajustes pagados y devengados</v>
      </c>
      <c r="B222" s="124" t="str">
        <f>"- 5305 a 5400"</f>
        <v>- 5305 a 5400</v>
      </c>
    </row>
    <row r="223" spans="1:2" ht="12.75">
      <c r="A223" s="119" t="str">
        <f>"+ Utilidades de cambio"</f>
        <v>+ Utilidades de cambio</v>
      </c>
      <c r="B223" s="124" t="s">
        <v>198</v>
      </c>
    </row>
    <row r="224" spans="1:2" ht="12.75">
      <c r="A224" s="115" t="str">
        <f>"- Pérdidas de cambio"</f>
        <v>- Pérdidas de cambio</v>
      </c>
      <c r="B224" s="116" t="str">
        <f>"- 5705 a 5710"</f>
        <v>- 5705 a 5710</v>
      </c>
    </row>
    <row r="226" spans="1:2" ht="12.75">
      <c r="A226" s="187" t="s">
        <v>79</v>
      </c>
      <c r="B226" s="188"/>
    </row>
    <row r="227" spans="1:2" ht="12.75">
      <c r="A227" s="118"/>
      <c r="B227" s="118"/>
    </row>
    <row r="228" spans="1:2" ht="12.75">
      <c r="A228" s="122" t="str">
        <f>"  Comisiones percibidas y devengadas"</f>
        <v>  Comisiones percibidas y devengadas</v>
      </c>
      <c r="B228" s="124" t="s">
        <v>199</v>
      </c>
    </row>
    <row r="229" spans="1:2" ht="12.75">
      <c r="A229" s="126" t="str">
        <f>"- Comisiones pagadas y devengadas"</f>
        <v>- Comisiones pagadas y devengadas</v>
      </c>
      <c r="B229" s="116" t="str">
        <f>"- 5505 a 5530"</f>
        <v>- 5505 a 5530</v>
      </c>
    </row>
    <row r="231" spans="1:2" ht="12.75">
      <c r="A231" s="187" t="s">
        <v>200</v>
      </c>
      <c r="B231" s="188"/>
    </row>
    <row r="232" spans="1:2" ht="12.75">
      <c r="A232" s="118"/>
      <c r="B232" s="118"/>
    </row>
    <row r="233" spans="1:2" ht="12.75">
      <c r="A233" s="122"/>
      <c r="B233" s="122"/>
    </row>
    <row r="234" spans="1:2" ht="12.75">
      <c r="A234" s="126" t="s">
        <v>201</v>
      </c>
      <c r="B234" s="140" t="s">
        <v>202</v>
      </c>
    </row>
    <row r="236" spans="1:2" ht="12.75">
      <c r="A236" s="187" t="s">
        <v>203</v>
      </c>
      <c r="B236" s="188"/>
    </row>
    <row r="237" spans="1:2" ht="12.75">
      <c r="A237" s="117"/>
      <c r="B237" s="118"/>
    </row>
    <row r="238" spans="1:2" ht="12.75">
      <c r="A238" s="119" t="s">
        <v>204</v>
      </c>
      <c r="B238" s="124" t="s">
        <v>205</v>
      </c>
    </row>
    <row r="239" spans="1:2" ht="12.75">
      <c r="A239" s="119" t="str">
        <f>"- Pérdidas por diferencias de precio"</f>
        <v>- Pérdidas por diferencias de precio</v>
      </c>
      <c r="B239" s="124" t="str">
        <f>"- 5605 a 5650"</f>
        <v>- 5605 a 5650</v>
      </c>
    </row>
    <row r="240" spans="1:2" ht="12.75">
      <c r="A240" s="119" t="str">
        <f>"+ Otros Ingresos de operación"</f>
        <v>+ Otros Ingresos de operación</v>
      </c>
      <c r="B240" s="121">
        <v>7910</v>
      </c>
    </row>
    <row r="241" spans="1:2" ht="12.75">
      <c r="A241" s="119" t="str">
        <f>"- Otros gastos de operación"</f>
        <v>- Otros gastos de operación</v>
      </c>
      <c r="B241" s="124" t="str">
        <f>"- 5900"</f>
        <v>- 5900</v>
      </c>
    </row>
    <row r="242" spans="1:2" ht="12.75">
      <c r="A242" s="119" t="str">
        <f>"+ Corrección Monetaria (ingreso)"</f>
        <v>+ Corrección Monetaria (ingreso)</v>
      </c>
      <c r="B242" s="121">
        <v>8405</v>
      </c>
    </row>
    <row r="243" spans="1:2" ht="12.75">
      <c r="A243" s="115" t="str">
        <f>"- Corrección Monetaria (gasto)"</f>
        <v>- Corrección Monetaria (gasto)</v>
      </c>
      <c r="B243" s="128">
        <v>6405</v>
      </c>
    </row>
    <row r="245" spans="1:2" ht="12.75">
      <c r="A245" s="189" t="s">
        <v>81</v>
      </c>
      <c r="B245" s="190"/>
    </row>
    <row r="246" spans="1:2" ht="12.75">
      <c r="A246" s="117"/>
      <c r="B246" s="153"/>
    </row>
    <row r="247" spans="1:2" ht="12.75">
      <c r="A247" s="119" t="s">
        <v>206</v>
      </c>
      <c r="B247" s="154"/>
    </row>
    <row r="248" spans="1:2" ht="12.75">
      <c r="A248" s="119" t="str">
        <f>"+ Comisiones netas"</f>
        <v>+ Comisiones netas</v>
      </c>
      <c r="B248" s="154"/>
    </row>
    <row r="249" spans="1:2" ht="12.75">
      <c r="A249" s="119" t="str">
        <f>"+ Recuperación de colocaciones  e inversiones castigadas"</f>
        <v>+ Recuperación de colocaciones  e inversiones castigadas</v>
      </c>
      <c r="B249" s="154"/>
    </row>
    <row r="250" spans="1:2" ht="12.75">
      <c r="A250" s="115" t="str">
        <f>"+ Otros ingresos de operación netos"</f>
        <v>+ Otros ingresos de operación netos</v>
      </c>
      <c r="B250" s="155"/>
    </row>
    <row r="251" spans="1:2" ht="12.75">
      <c r="A251" s="6"/>
      <c r="B251" s="6"/>
    </row>
    <row r="252" spans="1:2" ht="12.75">
      <c r="A252" s="187" t="s">
        <v>82</v>
      </c>
      <c r="B252" s="188"/>
    </row>
    <row r="253" spans="1:2" ht="12.75">
      <c r="A253" s="118"/>
      <c r="B253" s="118"/>
    </row>
    <row r="254" spans="1:2" ht="12.75">
      <c r="A254" s="126" t="s">
        <v>82</v>
      </c>
      <c r="B254" s="116" t="s">
        <v>207</v>
      </c>
    </row>
    <row r="255" spans="1:2" ht="12.75">
      <c r="A255" s="6"/>
      <c r="B255" s="6"/>
    </row>
    <row r="256" spans="1:2" ht="12.75">
      <c r="A256" s="187" t="s">
        <v>48</v>
      </c>
      <c r="B256" s="188"/>
    </row>
    <row r="257" spans="1:2" ht="12.75">
      <c r="A257" s="118"/>
      <c r="B257" s="118"/>
    </row>
    <row r="258" spans="1:2" ht="12.75">
      <c r="A258" s="122" t="s">
        <v>208</v>
      </c>
      <c r="B258" s="124" t="s">
        <v>209</v>
      </c>
    </row>
    <row r="259" spans="1:2" ht="12.75">
      <c r="A259" s="126" t="s">
        <v>210</v>
      </c>
      <c r="B259" s="140" t="s">
        <v>211</v>
      </c>
    </row>
    <row r="261" spans="1:2" ht="12.75">
      <c r="A261" s="189" t="s">
        <v>83</v>
      </c>
      <c r="B261" s="190"/>
    </row>
    <row r="262" spans="1:2" ht="12.75">
      <c r="A262" s="117"/>
      <c r="B262" s="153"/>
    </row>
    <row r="263" spans="1:2" ht="12.75">
      <c r="A263" s="119" t="s">
        <v>212</v>
      </c>
      <c r="B263" s="154"/>
    </row>
    <row r="264" spans="1:2" ht="12.75">
      <c r="A264" s="119" t="str">
        <f>"- Gastos de apoyo operacional"</f>
        <v>- Gastos de apoyo operacional</v>
      </c>
      <c r="B264" s="154"/>
    </row>
    <row r="265" spans="1:2" ht="12.75">
      <c r="A265" s="115" t="str">
        <f>"- Gasto en provisiones"</f>
        <v>- Gasto en provisiones</v>
      </c>
      <c r="B265" s="155"/>
    </row>
    <row r="266" spans="1:2" ht="12.75">
      <c r="A266" s="63"/>
      <c r="B266" s="63"/>
    </row>
    <row r="267" spans="1:2" ht="12.75">
      <c r="A267" s="187" t="s">
        <v>236</v>
      </c>
      <c r="B267" s="188"/>
    </row>
    <row r="268" spans="1:2" ht="12.75">
      <c r="A268" s="118"/>
      <c r="B268" s="118"/>
    </row>
    <row r="269" spans="1:2" ht="12.75">
      <c r="A269" s="141" t="s">
        <v>214</v>
      </c>
      <c r="B269" s="142">
        <v>8350</v>
      </c>
    </row>
    <row r="270" spans="1:2" ht="12.75">
      <c r="A270" s="141" t="str">
        <f>"- Pérdidas por inversión en sociedades"</f>
        <v>- Pérdidas por inversión en sociedades</v>
      </c>
      <c r="B270" s="143">
        <v>6350</v>
      </c>
    </row>
    <row r="271" spans="1:2" ht="12.75">
      <c r="A271" s="119" t="str">
        <f>"+ Utilidades de sucursales en el exterior"</f>
        <v>+ Utilidades de sucursales en el exterior</v>
      </c>
      <c r="B271" s="121">
        <v>8320</v>
      </c>
    </row>
    <row r="272" spans="1:2" ht="12.75">
      <c r="A272" s="115" t="str">
        <f>"- Perdidas de sucursales en el exterior"</f>
        <v>- Perdidas de sucursales en el exterior</v>
      </c>
      <c r="B272" s="128">
        <v>6320</v>
      </c>
    </row>
    <row r="273" spans="1:2" ht="12.75">
      <c r="A273" s="63"/>
      <c r="B273" s="63"/>
    </row>
    <row r="274" spans="1:2" ht="12.75">
      <c r="A274" s="189" t="s">
        <v>237</v>
      </c>
      <c r="B274" s="190"/>
    </row>
    <row r="275" spans="1:2" ht="12.75">
      <c r="A275" s="191" t="s">
        <v>215</v>
      </c>
      <c r="B275" s="192"/>
    </row>
    <row r="276" spans="1:2" ht="12.75">
      <c r="A276" s="113"/>
      <c r="B276" s="144"/>
    </row>
    <row r="277" spans="1:2" ht="12.75">
      <c r="A277" s="156" t="s">
        <v>216</v>
      </c>
      <c r="B277" s="157"/>
    </row>
    <row r="278" spans="1:2" ht="12.75">
      <c r="A278" s="158" t="str">
        <f>"+ Utilidades de inversiones en sociedades y de sucurs. en el exterior"</f>
        <v>+ Utilidades de inversiones en sociedades y de sucurs. en el exterior</v>
      </c>
      <c r="B278" s="159"/>
    </row>
    <row r="279" spans="1:2" ht="12.75">
      <c r="A279" s="63"/>
      <c r="B279" s="63"/>
    </row>
    <row r="280" spans="1:2" ht="12.75">
      <c r="A280" s="187" t="s">
        <v>103</v>
      </c>
      <c r="B280" s="188"/>
    </row>
    <row r="281" spans="1:2" ht="12.75">
      <c r="A281" s="117"/>
      <c r="B281" s="118"/>
    </row>
    <row r="282" spans="1:2" ht="12.75">
      <c r="A282" s="119" t="s">
        <v>217</v>
      </c>
      <c r="B282" s="124" t="s">
        <v>218</v>
      </c>
    </row>
    <row r="283" spans="1:2" ht="12.75">
      <c r="A283" s="119" t="s">
        <v>219</v>
      </c>
      <c r="B283" s="121">
        <v>8115</v>
      </c>
    </row>
    <row r="284" spans="1:2" ht="12.75">
      <c r="A284" s="115" t="str">
        <f>"- Gastos no operacionales"</f>
        <v>- Gastos no operacionales</v>
      </c>
      <c r="B284" s="116" t="str">
        <f>"- 6305 a 6315"</f>
        <v>- 6305 a 6315</v>
      </c>
    </row>
    <row r="285" spans="1:2" ht="12.75">
      <c r="A285" s="63"/>
      <c r="B285" s="63"/>
    </row>
    <row r="286" spans="1:2" ht="12.75">
      <c r="A286" s="189" t="s">
        <v>98</v>
      </c>
      <c r="B286" s="190"/>
    </row>
    <row r="287" spans="1:2" ht="12.75">
      <c r="A287" s="117"/>
      <c r="B287" s="153"/>
    </row>
    <row r="288" spans="1:2" ht="12.75">
      <c r="A288" s="156" t="s">
        <v>238</v>
      </c>
      <c r="B288" s="154"/>
    </row>
    <row r="289" spans="1:2" ht="12.75">
      <c r="A289" s="156" t="s">
        <v>220</v>
      </c>
      <c r="B289" s="154"/>
    </row>
    <row r="290" spans="1:2" ht="12.75">
      <c r="A290" s="115" t="str">
        <f>"+ Otros ingresos netos"</f>
        <v>+ Otros ingresos netos</v>
      </c>
      <c r="B290" s="155"/>
    </row>
    <row r="291" spans="1:2" ht="12.75">
      <c r="A291" s="6"/>
      <c r="B291" s="6"/>
    </row>
    <row r="292" spans="1:2" ht="12.75">
      <c r="A292" s="187" t="s">
        <v>93</v>
      </c>
      <c r="B292" s="188"/>
    </row>
    <row r="293" spans="1:2" ht="12.75">
      <c r="A293" s="118"/>
      <c r="B293" s="118"/>
    </row>
    <row r="294" spans="1:2" ht="12.75">
      <c r="A294" s="145" t="s">
        <v>221</v>
      </c>
      <c r="B294" s="126">
        <v>6605</v>
      </c>
    </row>
    <row r="295" ht="12.75">
      <c r="A295" s="6"/>
    </row>
    <row r="296" spans="1:2" ht="12.75">
      <c r="A296" s="189" t="s">
        <v>84</v>
      </c>
      <c r="B296" s="190"/>
    </row>
    <row r="297" spans="1:2" ht="12.75">
      <c r="A297" s="117"/>
      <c r="B297" s="153"/>
    </row>
    <row r="298" spans="1:2" ht="12.75">
      <c r="A298" s="156" t="s">
        <v>222</v>
      </c>
      <c r="B298" s="154"/>
    </row>
    <row r="299" spans="1:2" ht="12.75">
      <c r="A299" s="115" t="str">
        <f>"- Impuestos"</f>
        <v>- Impuestos</v>
      </c>
      <c r="B299" s="155"/>
    </row>
    <row r="300" ht="12.75">
      <c r="A300" s="6"/>
    </row>
    <row r="301" spans="1:2" ht="12.75">
      <c r="A301" s="187" t="s">
        <v>125</v>
      </c>
      <c r="B301" s="188"/>
    </row>
    <row r="302" spans="1:2" ht="12.75">
      <c r="A302" s="113"/>
      <c r="B302" s="114"/>
    </row>
    <row r="303" spans="1:2" ht="12.75">
      <c r="A303" s="146" t="s">
        <v>125</v>
      </c>
      <c r="B303" s="126">
        <v>9602</v>
      </c>
    </row>
  </sheetData>
  <mergeCells count="40">
    <mergeCell ref="A296:B296"/>
    <mergeCell ref="A301:B301"/>
    <mergeCell ref="A256:B256"/>
    <mergeCell ref="A261:B261"/>
    <mergeCell ref="A267:B267"/>
    <mergeCell ref="A275:B275"/>
    <mergeCell ref="A280:B280"/>
    <mergeCell ref="A286:B286"/>
    <mergeCell ref="A292:B292"/>
    <mergeCell ref="A274:B274"/>
    <mergeCell ref="A231:B231"/>
    <mergeCell ref="A236:B236"/>
    <mergeCell ref="A245:B245"/>
    <mergeCell ref="A252:B252"/>
    <mergeCell ref="A202:B202"/>
    <mergeCell ref="A212:B212"/>
    <mergeCell ref="A217:B217"/>
    <mergeCell ref="A226:B226"/>
    <mergeCell ref="A184:B184"/>
    <mergeCell ref="A188:B188"/>
    <mergeCell ref="A192:B192"/>
    <mergeCell ref="A197:B197"/>
    <mergeCell ref="A166:B166"/>
    <mergeCell ref="A172:B172"/>
    <mergeCell ref="A176:B176"/>
    <mergeCell ref="A180:B180"/>
    <mergeCell ref="A12:B12"/>
    <mergeCell ref="A16:B16"/>
    <mergeCell ref="A47:B47"/>
    <mergeCell ref="A70:B70"/>
    <mergeCell ref="A79:B79"/>
    <mergeCell ref="A84:B84"/>
    <mergeCell ref="A102:B102"/>
    <mergeCell ref="A112:B112"/>
    <mergeCell ref="A146:B146"/>
    <mergeCell ref="A153:B153"/>
    <mergeCell ref="A161:B161"/>
    <mergeCell ref="A123:B123"/>
    <mergeCell ref="A127:B127"/>
    <mergeCell ref="A134:B134"/>
  </mergeCells>
  <hyperlinks>
    <hyperlink ref="G1" location="Indice!A1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Financiera- enero 2006</dc:title>
  <dc:subject/>
  <dc:creator>Superintendencia de Bancos e Instituciones Financieras</dc:creator>
  <cp:keywords/>
  <dc:description/>
  <cp:lastModifiedBy>Pc Utility</cp:lastModifiedBy>
  <cp:lastPrinted>2006-02-20T18:41:14Z</cp:lastPrinted>
  <dcterms:created xsi:type="dcterms:W3CDTF">1998-06-19T14:09:35Z</dcterms:created>
  <dcterms:modified xsi:type="dcterms:W3CDTF">2006-03-17T16:53:51Z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409601242</vt:i4>
  </property>
  <property fmtid="{D5CDD505-2E9C-101B-9397-08002B2CF9AE}" pid="3" name="_EmailSubject">
    <vt:lpwstr>Información Financiera Mensual - Enero  de 2006.xls</vt:lpwstr>
  </property>
  <property fmtid="{D5CDD505-2E9C-101B-9397-08002B2CF9AE}" pid="4" name="_AuthorEmail">
    <vt:lpwstr>cjimenez@sbif.cl</vt:lpwstr>
  </property>
  <property fmtid="{D5CDD505-2E9C-101B-9397-08002B2CF9AE}" pid="5" name="_AuthorEmailDisplayName">
    <vt:lpwstr>Cesar Jimenez</vt:lpwstr>
  </property>
  <property fmtid="{D5CDD505-2E9C-101B-9397-08002B2CF9AE}" pid="6" name="_ReviewingToolsShownOnce">
    <vt:lpwstr/>
  </property>
</Properties>
</file>