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16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Bancos'!$A$4:$P$46</definedName>
    <definedName name="_xlnm.Print_Area" localSheetId="5">'Definiciones Usadas'!$A$3:$B$304</definedName>
    <definedName name="_xlnm.Print_Area" localSheetId="3">'Estado Resultados Bancos'!$A$3:$Q$45</definedName>
    <definedName name="_xlnm.Print_Area" localSheetId="4">'Indicadores Bancos'!$A$3:$L$48</definedName>
    <definedName name="_xlnm.Print_Area" localSheetId="0">'Indice'!$A$1:$C$25</definedName>
    <definedName name="_xlnm.Print_Area" localSheetId="1">'Información Sistema'!$B$3:$F$74</definedName>
  </definedNames>
  <calcPr fullCalcOnLoad="1"/>
</workbook>
</file>

<file path=xl/sharedStrings.xml><?xml version="1.0" encoding="utf-8"?>
<sst xmlns="http://schemas.openxmlformats.org/spreadsheetml/2006/main" count="435" uniqueCount="259">
  <si>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</si>
  <si>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</si>
  <si>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</si>
  <si>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</si>
  <si>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</si>
  <si>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</si>
  <si>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</si>
  <si>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</si>
  <si>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</si>
  <si>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</si>
  <si>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</si>
  <si>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</si>
  <si>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</si>
  <si>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</si>
  <si>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</si>
  <si>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</si>
  <si>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</si>
  <si>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</si>
  <si>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</si>
  <si>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</si>
  <si>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</si>
  <si>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</si>
  <si>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</si>
  <si>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</si>
  <si>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</si>
  <si>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</si>
  <si>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</si>
  <si>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</si>
  <si>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</si>
  <si>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</si>
  <si>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</si>
  <si>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</si>
  <si>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</si>
  <si>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</si>
  <si>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</si>
  <si>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Of Tokyo-Mitsubishi Ltd.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</si>
  <si>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</si>
  <si>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</si>
  <si>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</si>
  <si>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</si>
  <si>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</si>
  <si>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</si>
  <si>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</si>
  <si>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</si>
  <si>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</si>
  <si>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</si>
  <si>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</si>
  <si>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</si>
  <si>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</si>
  <si>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</si>
  <si>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</si>
  <si>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</si>
  <si>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</si>
  <si>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</si>
  <si>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</si>
  <si>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</si>
  <si>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</si>
  <si>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</si>
  <si>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</si>
  <si>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</si>
  <si>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</si>
  <si>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</si>
  <si>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</si>
  <si>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</si>
  <si>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</si>
  <si>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</si>
  <si>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</si>
  <si>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</si>
  <si>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</si>
  <si>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</si>
  <si>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</si>
  <si>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</si>
  <si>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</si>
  <si>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</si>
  <si>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</si>
  <si>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</si>
  <si>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</si>
  <si>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</si>
  <si>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</si>
  <si>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</si>
  <si>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</si>
  <si>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</si>
  <si>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</si>
  <si>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</si>
  <si>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</si>
  <si>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</si>
  <si>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</si>
  <si>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</si>
  <si>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</si>
  <si>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</si>
  <si>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</si>
  <si>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</si>
  <si>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</si>
  <si>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</si>
  <si>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</si>
  <si>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</si>
  <si>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</si>
  <si>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</si>
  <si>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</si>
  <si>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</si>
  <si>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</si>
  <si>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</si>
  <si>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</si>
  <si>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</si>
  <si>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</si>
  <si>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</si>
  <si>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</si>
  <si>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</si>
  <si>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</si>
  <si>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</si>
  <si>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</si>
  <si>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</si>
  <si>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</si>
  <si>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</si>
  <si>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</si>
  <si>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</si>
  <si>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</si>
  <si>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</si>
  <si>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</si>
  <si>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</si>
  <si>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</si>
  <si>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</si>
  <si>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</si>
  <si>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</si>
  <si>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</si>
  <si>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</si>
  <si>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</si>
  <si>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</si>
  <si>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</si>
  <si>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</si>
  <si>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</si>
  <si>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</si>
  <si>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</si>
  <si>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</si>
  <si>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</si>
  <si>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</si>
  <si>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</si>
  <si>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</si>
  <si>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Del Estado de Chile</t>
  </si>
  <si>
    <t>(3) El deflactor utilizado corresponde a la unidad de fomento (UF).</t>
  </si>
  <si>
    <t>(1) Corresponde a la variación real entre los resultados del mes, respecto de los registrados durante el mes anterior.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</si>
  <si>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</si>
  <si>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</si>
  <si>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</si>
  <si>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</si>
  <si>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</si>
  <si>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</si>
  <si>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</si>
  <si>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</si>
  <si>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</si>
  <si>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</si>
  <si>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</si>
  <si>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</si>
  <si>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</si>
  <si>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</si>
  <si>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</si>
  <si>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</si>
  <si>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</si>
  <si>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</si>
  <si>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</si>
  <si>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</si>
  <si>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</si>
  <si>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</si>
  <si>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</si>
  <si>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</si>
  <si>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</si>
  <si>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</si>
  <si>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</si>
  <si>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</si>
  <si>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</si>
  <si>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</si>
  <si>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</si>
  <si>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</si>
  <si>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</si>
  <si>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</si>
  <si>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</si>
  <si>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</si>
  <si>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</si>
  <si>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</si>
  <si>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</si>
  <si>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</si>
  <si>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</si>
  <si>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</si>
  <si>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</si>
  <si>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</si>
  <si>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</si>
  <si>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</si>
  <si>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</si>
  <si>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</si>
  <si>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</si>
  <si>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</si>
  <si>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</si>
  <si>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</si>
  <si>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</si>
  <si>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</si>
  <si>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</si>
  <si>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</si>
  <si>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</si>
  <si>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</si>
  <si>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</si>
  <si>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</si>
  <si>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</si>
  <si>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</si>
  <si>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</si>
  <si>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</si>
  <si>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</si>
  <si>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</si>
  <si>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</si>
  <si>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</si>
  <si>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</si>
  <si>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</si>
  <si>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</si>
  <si>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</si>
  <si>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</si>
  <si>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</si>
  <si>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</si>
  <si>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</si>
  <si>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</si>
  <si>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</si>
  <si>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</si>
  <si>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</si>
  <si>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</si>
  <si>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</si>
  <si>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</si>
  <si>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</si>
  <si>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</si>
  <si>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</si>
  <si>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</si>
  <si>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</si>
  <si>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</si>
  <si>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</si>
  <si>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</si>
  <si>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</si>
  <si>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</si>
  <si>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</si>
  <si>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</si>
  <si>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</si>
  <si>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</si>
  <si>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</si>
  <si>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</si>
  <si>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</si>
  <si>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</si>
  <si>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dic'2004</t>
  </si>
  <si>
    <t>De Crédito e Inversiones</t>
  </si>
  <si>
    <t>Actividad (variación en doce meses)  (1)</t>
  </si>
  <si>
    <t>Rentabilidad s/Capital y reservas  (2)</t>
  </si>
  <si>
    <t>Del Estado de Chile    (3)</t>
  </si>
  <si>
    <t>(1) Las variaciones son reales y usan como deflactor la unidad de fomento (UF).</t>
  </si>
  <si>
    <t>(2) Los porcentajes de rentabilidad se determinan anualizando las cifras de resultados (dividiendo estos últimos por el número de meses transcurridos y luego multiplicándolos por doce).</t>
  </si>
  <si>
    <t>(3) Esta institución está afecta a un régimen impositivo distinto que el del resto de la banca.</t>
  </si>
  <si>
    <t>Paris</t>
  </si>
  <si>
    <t xml:space="preserve">Paris </t>
  </si>
  <si>
    <t>Reporte de Información Financiera Mensual - Diciembre de 2005</t>
  </si>
  <si>
    <t xml:space="preserve"> AL MES DE DICIEMBRE DE 2005 </t>
  </si>
  <si>
    <t>PRINCIPALES ACTIVOS Y PASIVOS POR INSTITUCIONES AL MES DE DICIEMBRE DE 2005</t>
  </si>
  <si>
    <t>ESTRUCTURA DEL ESTADO DE RESULTADOS POR INSTITUCIONES AL MES DE DICIEMBRE DE 2005</t>
  </si>
  <si>
    <t>INDICADORES POR INSTITUCIONES AL MES DE DICIEMBRE DE 2005</t>
  </si>
  <si>
    <t>---</t>
  </si>
  <si>
    <t>Act.: 14/02/2006 - Cifras sujetas a revisión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</si>
</sst>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  <numFmt numFmtId="191" formatCode="0.00000000"/>
  </numFmts>
  <fonts count="2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sz val="9"/>
      <name val="Lucida Sans"/>
      <family val="0"/>
    </font>
    <font>
      <sz val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" fontId="22" fillId="2" borderId="0" xfId="0" applyNumberFormat="1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8.875" style="3" customWidth="1"/>
    <col min="2" max="2" width="85.0039062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07" t="s">
        <v>252</v>
      </c>
    </row>
    <row r="9" ht="12.75">
      <c r="B9" s="108" t="s">
        <v>15</v>
      </c>
    </row>
    <row r="11" ht="12.75">
      <c r="B11" s="109" t="s">
        <v>146</v>
      </c>
    </row>
    <row r="13" ht="12.75">
      <c r="B13" s="108" t="s">
        <v>145</v>
      </c>
    </row>
    <row r="15" ht="12.75">
      <c r="B15" s="109" t="s">
        <v>150</v>
      </c>
    </row>
    <row r="17" ht="12.75">
      <c r="B17" s="109" t="s">
        <v>151</v>
      </c>
    </row>
    <row r="19" ht="12.75">
      <c r="B19" s="109" t="s">
        <v>147</v>
      </c>
    </row>
    <row r="21" ht="12.75">
      <c r="B21" s="109" t="s">
        <v>149</v>
      </c>
    </row>
    <row r="24" ht="12.75">
      <c r="B24" s="3" t="s">
        <v>103</v>
      </c>
    </row>
    <row r="25" ht="12.75">
      <c r="B25" s="3" t="s">
        <v>258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A1" sqref="A1"/>
    </sheetView>
  </sheetViews>
  <sheetFormatPr defaultColWidth="11.00390625" defaultRowHeight="12.75"/>
  <cols>
    <col min="1" max="1" width="12.00390625" style="3" customWidth="1"/>
    <col min="2" max="2" width="66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06" t="s">
        <v>141</v>
      </c>
      <c r="F1" s="110" t="s">
        <v>148</v>
      </c>
    </row>
    <row r="2" ht="12.75">
      <c r="A2" s="106" t="s">
        <v>142</v>
      </c>
    </row>
    <row r="3" spans="1:6" ht="15.75">
      <c r="A3" s="106"/>
      <c r="B3" s="176" t="s">
        <v>143</v>
      </c>
      <c r="C3" s="176"/>
      <c r="D3" s="176"/>
      <c r="E3" s="176"/>
      <c r="F3" s="176"/>
    </row>
    <row r="4" spans="2:6" ht="15.75">
      <c r="B4" s="176" t="s">
        <v>144</v>
      </c>
      <c r="C4" s="176"/>
      <c r="D4" s="176"/>
      <c r="E4" s="176"/>
      <c r="F4" s="176"/>
    </row>
    <row r="5" spans="2:6" ht="15.75">
      <c r="B5" s="1" t="s">
        <v>253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79" t="s">
        <v>64</v>
      </c>
      <c r="C7" s="180"/>
      <c r="D7" s="180"/>
      <c r="E7" s="180"/>
      <c r="F7" s="181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65</v>
      </c>
      <c r="D9" s="9" t="s">
        <v>135</v>
      </c>
      <c r="E9" s="10"/>
      <c r="F9" s="11"/>
    </row>
    <row r="10" spans="2:6" ht="12.75">
      <c r="B10" s="12"/>
      <c r="C10" s="13" t="s">
        <v>66</v>
      </c>
      <c r="D10" s="14" t="s">
        <v>67</v>
      </c>
      <c r="E10" s="14" t="s">
        <v>242</v>
      </c>
      <c r="F10" s="14" t="s">
        <v>68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69</v>
      </c>
      <c r="C12" s="19">
        <v>44833507.0011</v>
      </c>
      <c r="D12" s="20">
        <v>1.50001431166616</v>
      </c>
      <c r="E12" s="20">
        <v>14.1674578637456</v>
      </c>
      <c r="F12" s="20">
        <v>14.1674578637456</v>
      </c>
    </row>
    <row r="13" spans="2:6" ht="16.5" customHeight="1">
      <c r="B13" s="21" t="s">
        <v>101</v>
      </c>
      <c r="C13" s="22">
        <v>30124116.4651</v>
      </c>
      <c r="D13" s="23">
        <v>1.45264428923952</v>
      </c>
      <c r="E13" s="23">
        <v>12.5055426232901</v>
      </c>
      <c r="F13" s="23">
        <v>12.50554262329</v>
      </c>
    </row>
    <row r="14" spans="2:6" ht="12.75">
      <c r="B14" s="24" t="s">
        <v>121</v>
      </c>
      <c r="C14" s="25">
        <v>25907139.379</v>
      </c>
      <c r="D14" s="26">
        <v>2.19160771210288</v>
      </c>
      <c r="E14" s="26">
        <v>13.8404023182531</v>
      </c>
      <c r="F14" s="26">
        <v>13.8404023182531</v>
      </c>
    </row>
    <row r="15" spans="2:6" ht="12.75">
      <c r="B15" s="24" t="s">
        <v>122</v>
      </c>
      <c r="C15" s="25">
        <v>3627523.4506</v>
      </c>
      <c r="D15" s="26">
        <v>-1.47539360640664</v>
      </c>
      <c r="E15" s="26">
        <v>3.164490452681</v>
      </c>
      <c r="F15" s="26">
        <v>3.16449045268101</v>
      </c>
    </row>
    <row r="16" spans="2:6" ht="12.75">
      <c r="B16" s="24" t="s">
        <v>123</v>
      </c>
      <c r="C16" s="25">
        <v>589453.6355</v>
      </c>
      <c r="D16" s="26">
        <v>-10.6085975102069</v>
      </c>
      <c r="E16" s="26">
        <v>17.4209356112219</v>
      </c>
      <c r="F16" s="26">
        <v>17.4209356112219</v>
      </c>
    </row>
    <row r="17" spans="2:6" ht="12.75">
      <c r="B17" s="21" t="s">
        <v>100</v>
      </c>
      <c r="C17" s="22">
        <v>14709390.5354</v>
      </c>
      <c r="D17" s="23">
        <v>1.59716400653627</v>
      </c>
      <c r="E17" s="23">
        <v>17.7289996573153</v>
      </c>
      <c r="F17" s="23">
        <v>17.7289996573153</v>
      </c>
    </row>
    <row r="18" spans="2:6" ht="12.75">
      <c r="B18" s="24" t="s">
        <v>124</v>
      </c>
      <c r="C18" s="25">
        <v>5468256.2198</v>
      </c>
      <c r="D18" s="26">
        <v>1.91874422645205</v>
      </c>
      <c r="E18" s="26">
        <v>20.3311960990497</v>
      </c>
      <c r="F18" s="26">
        <v>20.3311960990497</v>
      </c>
    </row>
    <row r="19" spans="2:6" ht="12.75">
      <c r="B19" s="24" t="s">
        <v>125</v>
      </c>
      <c r="C19" s="25">
        <v>9241134.3156</v>
      </c>
      <c r="D19" s="26">
        <v>1.40782925970734</v>
      </c>
      <c r="E19" s="26">
        <v>16.2415346656864</v>
      </c>
      <c r="F19" s="26">
        <v>16.2415346656864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70</v>
      </c>
      <c r="C21" s="22">
        <v>8847587.5788</v>
      </c>
      <c r="D21" s="23">
        <v>4.24754084099501</v>
      </c>
      <c r="E21" s="23">
        <v>-8.49969590760359</v>
      </c>
      <c r="F21" s="23">
        <v>-8.49969590760359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71</v>
      </c>
      <c r="C23" s="28">
        <v>61358506.3913</v>
      </c>
      <c r="D23" s="29">
        <v>0.144765047902919</v>
      </c>
      <c r="E23" s="29">
        <v>10.3918525038463</v>
      </c>
      <c r="F23" s="29">
        <v>10.3918525038463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72</v>
      </c>
      <c r="C25" s="19">
        <v>36808597.8268</v>
      </c>
      <c r="D25" s="20">
        <v>4.47908309345331</v>
      </c>
      <c r="E25" s="20">
        <v>17.6414960656768</v>
      </c>
      <c r="F25" s="20">
        <v>17.6414960656768</v>
      </c>
    </row>
    <row r="26" spans="2:6" ht="12.75">
      <c r="B26" s="24" t="s">
        <v>130</v>
      </c>
      <c r="C26" s="25">
        <v>8036358.7963</v>
      </c>
      <c r="D26" s="26">
        <v>6.86196002387531</v>
      </c>
      <c r="E26" s="26">
        <v>5.06624144206638</v>
      </c>
      <c r="F26" s="26">
        <v>5.06624144206638</v>
      </c>
    </row>
    <row r="27" spans="2:6" ht="12.75">
      <c r="B27" s="24" t="s">
        <v>102</v>
      </c>
      <c r="C27" s="25">
        <v>28772239.0305</v>
      </c>
      <c r="D27" s="26">
        <v>3.83239182960797</v>
      </c>
      <c r="E27" s="26">
        <v>21.7102982532211</v>
      </c>
      <c r="F27" s="26">
        <v>21.7102982532211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113</v>
      </c>
      <c r="C29" s="22">
        <v>3670737.1842</v>
      </c>
      <c r="D29" s="23">
        <v>3.3006499957994</v>
      </c>
      <c r="E29" s="23">
        <v>10.8063018380962</v>
      </c>
      <c r="F29" s="23">
        <v>10.8063018380962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114</v>
      </c>
      <c r="C31" s="22">
        <v>7802872.2132</v>
      </c>
      <c r="D31" s="23">
        <v>0.0303806644138317</v>
      </c>
      <c r="E31" s="23">
        <v>-5.47769676766422</v>
      </c>
      <c r="F31" s="23">
        <v>-5.47769676766423</v>
      </c>
    </row>
    <row r="32" spans="2:6" ht="12.75">
      <c r="B32" s="24" t="s">
        <v>115</v>
      </c>
      <c r="C32" s="25">
        <v>5094776.5312</v>
      </c>
      <c r="D32" s="26">
        <v>-0.447982963480925</v>
      </c>
      <c r="E32" s="26">
        <v>-15.6619850462291</v>
      </c>
      <c r="F32" s="26">
        <v>-15.6619850462291</v>
      </c>
    </row>
    <row r="33" spans="2:6" ht="15" customHeight="1">
      <c r="B33" s="24" t="s">
        <v>116</v>
      </c>
      <c r="C33" s="25">
        <v>1271354.2622</v>
      </c>
      <c r="D33" s="26">
        <v>-0.127003791973898</v>
      </c>
      <c r="E33" s="26">
        <v>56.7776275414116</v>
      </c>
      <c r="F33" s="26">
        <v>56.7776275414116</v>
      </c>
    </row>
    <row r="34" spans="2:6" ht="12.75">
      <c r="B34" s="24" t="s">
        <v>117</v>
      </c>
      <c r="C34" s="25">
        <v>1436741.4198</v>
      </c>
      <c r="D34" s="26">
        <v>1.90895593910196</v>
      </c>
      <c r="E34" s="26">
        <v>2.38821288546421</v>
      </c>
      <c r="F34" s="26">
        <v>2.3882128854642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73</v>
      </c>
      <c r="C36" s="28">
        <v>4357013.2066</v>
      </c>
      <c r="D36" s="29">
        <v>-0.163030007912113</v>
      </c>
      <c r="E36" s="29">
        <v>5.70407169844563</v>
      </c>
      <c r="F36" s="29">
        <v>5.70407169844562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85" t="s">
        <v>27</v>
      </c>
      <c r="C38" s="34"/>
      <c r="D38" s="35"/>
      <c r="E38" s="35"/>
      <c r="F38" s="35"/>
    </row>
    <row r="39" spans="2:6" ht="12.75">
      <c r="B39" s="36" t="s">
        <v>76</v>
      </c>
      <c r="C39" s="37">
        <v>406480.0804</v>
      </c>
      <c r="D39" s="38">
        <v>-2.24780037960789</v>
      </c>
      <c r="E39" s="38">
        <v>-13.9214877225407</v>
      </c>
      <c r="F39" s="38">
        <v>-13.9214877225407</v>
      </c>
    </row>
    <row r="40" spans="2:6" ht="12.75">
      <c r="B40" s="24" t="s">
        <v>75</v>
      </c>
      <c r="C40" s="25">
        <v>2134826.4279</v>
      </c>
      <c r="D40" s="26">
        <v>2.39591428741321</v>
      </c>
      <c r="E40" s="26">
        <v>26.228174243085</v>
      </c>
      <c r="F40" s="26">
        <v>26.228174243085</v>
      </c>
    </row>
    <row r="41" spans="2:6" ht="12.75">
      <c r="B41" s="24" t="s">
        <v>93</v>
      </c>
      <c r="C41" s="25">
        <v>617418.6867</v>
      </c>
      <c r="D41" s="26">
        <v>37.8563494874667</v>
      </c>
      <c r="E41" s="26">
        <v>120.901499759092</v>
      </c>
      <c r="F41" s="26">
        <v>120.901499759092</v>
      </c>
    </row>
    <row r="42" spans="2:6" ht="12.75">
      <c r="B42" s="39" t="s">
        <v>74</v>
      </c>
      <c r="C42" s="40">
        <v>3431391.2908</v>
      </c>
      <c r="D42" s="41">
        <v>2.14310589453726</v>
      </c>
      <c r="E42" s="41">
        <v>18.8206816135447</v>
      </c>
      <c r="F42" s="41">
        <v>18.8206816135447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77</v>
      </c>
      <c r="C44" s="43">
        <v>41402115.7103</v>
      </c>
      <c r="D44" s="44">
        <v>1.44707832409912</v>
      </c>
      <c r="E44" s="44">
        <v>13.7981023161126</v>
      </c>
      <c r="F44" s="44">
        <v>13.7981023161126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79" t="s">
        <v>78</v>
      </c>
      <c r="C46" s="180"/>
      <c r="D46" s="180"/>
      <c r="E46" s="180"/>
      <c r="F46" s="181"/>
    </row>
    <row r="47" spans="2:13" ht="9" customHeight="1">
      <c r="B47" s="47"/>
      <c r="C47" s="48"/>
      <c r="D47" s="49"/>
      <c r="E47" s="49"/>
      <c r="F47" s="172"/>
      <c r="G47" s="172"/>
      <c r="H47" s="172"/>
      <c r="I47" s="172"/>
      <c r="J47" s="172"/>
      <c r="K47" s="172"/>
      <c r="L47" s="172"/>
      <c r="M47" s="172"/>
    </row>
    <row r="48" spans="2:13" ht="12.75">
      <c r="B48" s="7"/>
      <c r="C48" s="50" t="s">
        <v>79</v>
      </c>
      <c r="D48" s="177" t="s">
        <v>131</v>
      </c>
      <c r="E48" s="178"/>
      <c r="F48" s="172"/>
      <c r="G48" s="172"/>
      <c r="H48" s="172"/>
      <c r="I48" s="172"/>
      <c r="J48" s="172"/>
      <c r="K48" s="172"/>
      <c r="L48" s="172"/>
      <c r="M48" s="172"/>
    </row>
    <row r="49" spans="2:13" ht="12.75">
      <c r="B49" s="51"/>
      <c r="C49" s="50" t="s">
        <v>66</v>
      </c>
      <c r="D49" s="52" t="s">
        <v>132</v>
      </c>
      <c r="E49" s="52" t="s">
        <v>133</v>
      </c>
      <c r="F49" s="172"/>
      <c r="G49" s="172"/>
      <c r="H49" s="172"/>
      <c r="I49" s="172"/>
      <c r="J49" s="172"/>
      <c r="K49" s="172"/>
      <c r="L49" s="172"/>
      <c r="M49" s="172"/>
    </row>
    <row r="50" spans="2:13" ht="12.75">
      <c r="B50" s="36" t="s">
        <v>194</v>
      </c>
      <c r="C50" s="147">
        <v>2052883.0856</v>
      </c>
      <c r="D50" s="148">
        <v>-4.62167675270503</v>
      </c>
      <c r="E50" s="38">
        <v>10.3266431803468</v>
      </c>
      <c r="F50" s="172"/>
      <c r="G50" s="172"/>
      <c r="H50" s="172"/>
      <c r="I50" s="172"/>
      <c r="J50" s="172"/>
      <c r="K50" s="172"/>
      <c r="L50" s="172"/>
      <c r="M50" s="172"/>
    </row>
    <row r="51" spans="2:13" ht="12.75">
      <c r="B51" s="24" t="s">
        <v>80</v>
      </c>
      <c r="C51" s="53">
        <v>501844.4519</v>
      </c>
      <c r="D51" s="26">
        <v>18.3475248118359</v>
      </c>
      <c r="E51" s="26">
        <v>6.15255083673756</v>
      </c>
      <c r="F51" s="172"/>
      <c r="G51" s="172"/>
      <c r="H51" s="172"/>
      <c r="I51" s="172"/>
      <c r="J51" s="172"/>
      <c r="K51" s="172"/>
      <c r="L51" s="172"/>
      <c r="M51" s="172"/>
    </row>
    <row r="52" spans="2:13" ht="12.75">
      <c r="B52" s="24" t="s">
        <v>201</v>
      </c>
      <c r="C52" s="53">
        <v>168983.9588</v>
      </c>
      <c r="D52" s="26">
        <v>30.5764178041936</v>
      </c>
      <c r="E52" s="26">
        <v>4.34416479966737</v>
      </c>
      <c r="F52" s="172"/>
      <c r="G52" s="172"/>
      <c r="H52" s="172"/>
      <c r="I52" s="172"/>
      <c r="J52" s="172"/>
      <c r="K52" s="172"/>
      <c r="L52" s="172"/>
      <c r="M52" s="172"/>
    </row>
    <row r="53" spans="2:13" ht="12.75">
      <c r="B53" s="39" t="s">
        <v>81</v>
      </c>
      <c r="C53" s="54">
        <v>-91142.1065</v>
      </c>
      <c r="D53" s="149" t="s">
        <v>257</v>
      </c>
      <c r="E53" s="149" t="s">
        <v>257</v>
      </c>
      <c r="F53" s="172"/>
      <c r="G53" s="172"/>
      <c r="H53" s="172"/>
      <c r="I53" s="172"/>
      <c r="J53" s="172"/>
      <c r="K53" s="172"/>
      <c r="L53" s="172"/>
      <c r="M53" s="172"/>
    </row>
    <row r="54" spans="2:13" ht="12.75">
      <c r="B54" s="55" t="s">
        <v>82</v>
      </c>
      <c r="C54" s="56">
        <v>2632569.3898</v>
      </c>
      <c r="D54" s="57">
        <v>18.4883600677411</v>
      </c>
      <c r="E54" s="57">
        <v>5.00383639664808</v>
      </c>
      <c r="F54" s="172"/>
      <c r="G54" s="172"/>
      <c r="H54" s="172"/>
      <c r="I54" s="172"/>
      <c r="J54" s="172"/>
      <c r="K54" s="172"/>
      <c r="L54" s="172"/>
      <c r="M54" s="172"/>
    </row>
    <row r="55" spans="2:13" ht="12.75">
      <c r="B55" s="36" t="s">
        <v>83</v>
      </c>
      <c r="C55" s="58">
        <v>1378439.4836</v>
      </c>
      <c r="D55" s="38">
        <v>28.4674443338697</v>
      </c>
      <c r="E55" s="38">
        <v>2.86057744049648</v>
      </c>
      <c r="F55" s="172"/>
      <c r="G55" s="172"/>
      <c r="H55" s="172"/>
      <c r="I55" s="172"/>
      <c r="J55" s="172"/>
      <c r="K55" s="172"/>
      <c r="L55" s="172"/>
      <c r="M55" s="172"/>
    </row>
    <row r="56" spans="2:13" ht="12.75">
      <c r="B56" s="39" t="s">
        <v>49</v>
      </c>
      <c r="C56" s="54">
        <v>401767.2688</v>
      </c>
      <c r="D56" s="41">
        <v>32.3505789502385</v>
      </c>
      <c r="E56" s="41">
        <v>-13.0444946938649</v>
      </c>
      <c r="F56" s="172"/>
      <c r="G56" s="172"/>
      <c r="H56" s="172"/>
      <c r="I56" s="172"/>
      <c r="J56" s="172"/>
      <c r="K56" s="172"/>
      <c r="L56" s="172"/>
      <c r="M56" s="172"/>
    </row>
    <row r="57" spans="2:13" ht="12.75">
      <c r="B57" s="55" t="s">
        <v>84</v>
      </c>
      <c r="C57" s="56">
        <v>852362.637400001</v>
      </c>
      <c r="D57" s="57">
        <v>-5.69514927691184</v>
      </c>
      <c r="E57" s="57">
        <v>20.9068183013021</v>
      </c>
      <c r="F57" s="172"/>
      <c r="G57" s="172"/>
      <c r="H57" s="172"/>
      <c r="I57" s="172"/>
      <c r="J57" s="172"/>
      <c r="K57" s="172"/>
      <c r="L57" s="172"/>
      <c r="M57" s="172"/>
    </row>
    <row r="58" spans="2:13" ht="12.75">
      <c r="B58" s="36" t="s">
        <v>214</v>
      </c>
      <c r="C58" s="58">
        <v>122444.2594</v>
      </c>
      <c r="D58" s="175">
        <v>91.5612376817757</v>
      </c>
      <c r="E58" s="38">
        <v>-7.08574165112081</v>
      </c>
      <c r="F58" s="172"/>
      <c r="G58" s="172"/>
      <c r="H58" s="172"/>
      <c r="I58" s="172"/>
      <c r="J58" s="172"/>
      <c r="K58" s="172"/>
      <c r="L58" s="172"/>
      <c r="M58" s="172"/>
    </row>
    <row r="59" spans="2:13" ht="12.75">
      <c r="B59" s="55" t="s">
        <v>224</v>
      </c>
      <c r="C59" s="59">
        <v>974806.896799999</v>
      </c>
      <c r="D59" s="57">
        <v>0.372968931995646</v>
      </c>
      <c r="E59" s="57">
        <v>16.4982312320236</v>
      </c>
      <c r="F59" s="172"/>
      <c r="G59" s="172"/>
      <c r="H59" s="172"/>
      <c r="I59" s="172"/>
      <c r="J59" s="172"/>
      <c r="K59" s="172"/>
      <c r="L59" s="172"/>
      <c r="M59" s="172"/>
    </row>
    <row r="60" spans="2:13" ht="12.75">
      <c r="B60" s="24" t="s">
        <v>104</v>
      </c>
      <c r="C60" s="53">
        <v>-36492.859</v>
      </c>
      <c r="D60" s="150">
        <v>41.6157951415381</v>
      </c>
      <c r="E60" s="26">
        <v>131.891038929986</v>
      </c>
      <c r="F60" s="172"/>
      <c r="G60" s="172"/>
      <c r="H60" s="172"/>
      <c r="I60" s="172"/>
      <c r="J60" s="172"/>
      <c r="K60" s="172"/>
      <c r="L60" s="172"/>
      <c r="M60" s="172"/>
    </row>
    <row r="61" spans="2:13" ht="12.75">
      <c r="B61" s="55" t="s">
        <v>99</v>
      </c>
      <c r="C61" s="56">
        <v>938314.0376</v>
      </c>
      <c r="D61" s="57">
        <v>-0.566528347013788</v>
      </c>
      <c r="E61" s="57">
        <v>14.2864148978204</v>
      </c>
      <c r="F61" s="172"/>
      <c r="G61" s="172"/>
      <c r="H61" s="172"/>
      <c r="I61" s="172"/>
      <c r="J61" s="172"/>
      <c r="K61" s="172"/>
      <c r="L61" s="172"/>
      <c r="M61" s="172"/>
    </row>
    <row r="62" spans="2:13" ht="12.75">
      <c r="B62" s="39" t="s">
        <v>94</v>
      </c>
      <c r="C62" s="60">
        <v>160415.7834</v>
      </c>
      <c r="D62" s="160">
        <v>23.9468304201633</v>
      </c>
      <c r="E62" s="41">
        <v>22.3198094307385</v>
      </c>
      <c r="F62" s="172"/>
      <c r="G62" s="172"/>
      <c r="H62" s="172"/>
      <c r="I62" s="172"/>
      <c r="J62" s="172"/>
      <c r="K62" s="172"/>
      <c r="L62" s="172"/>
      <c r="M62" s="172"/>
    </row>
    <row r="63" spans="2:13" ht="12.75">
      <c r="B63" s="55" t="s">
        <v>85</v>
      </c>
      <c r="C63" s="61">
        <v>777898.2542</v>
      </c>
      <c r="D63" s="62">
        <v>-5.55163416512195</v>
      </c>
      <c r="E63" s="57">
        <v>12.759274838121</v>
      </c>
      <c r="F63" s="172"/>
      <c r="G63" s="172"/>
      <c r="H63" s="172"/>
      <c r="I63" s="172"/>
      <c r="J63" s="172"/>
      <c r="K63" s="172"/>
      <c r="L63" s="172"/>
      <c r="M63" s="172"/>
    </row>
    <row r="64" spans="3:13" ht="12.75">
      <c r="C64" s="76"/>
      <c r="F64" s="172"/>
      <c r="G64" s="172"/>
      <c r="H64" s="172"/>
      <c r="I64" s="172"/>
      <c r="J64" s="172"/>
      <c r="K64" s="172"/>
      <c r="L64" s="172"/>
      <c r="M64" s="172"/>
    </row>
    <row r="65" spans="2:13" ht="12.75">
      <c r="B65" s="88" t="s">
        <v>27</v>
      </c>
      <c r="F65" s="172"/>
      <c r="G65" s="172"/>
      <c r="H65" s="172"/>
      <c r="I65" s="172"/>
      <c r="J65" s="172"/>
      <c r="K65" s="172"/>
      <c r="L65" s="172"/>
      <c r="M65" s="172"/>
    </row>
    <row r="66" spans="2:13" ht="12.75">
      <c r="B66" s="42" t="s">
        <v>126</v>
      </c>
      <c r="C66" s="64">
        <v>427745.693</v>
      </c>
      <c r="D66" s="65">
        <v>12.1271664089965</v>
      </c>
      <c r="E66" s="44">
        <v>-7.01602414413766</v>
      </c>
      <c r="F66" s="172"/>
      <c r="G66" s="172"/>
      <c r="H66" s="172"/>
      <c r="I66" s="172"/>
      <c r="J66" s="172"/>
      <c r="K66" s="172"/>
      <c r="L66" s="172"/>
      <c r="M66" s="172"/>
    </row>
    <row r="67" spans="6:13" ht="12.75">
      <c r="F67" s="172"/>
      <c r="G67" s="172"/>
      <c r="H67" s="172"/>
      <c r="I67" s="172"/>
      <c r="J67" s="172"/>
      <c r="K67" s="172"/>
      <c r="L67" s="172"/>
      <c r="M67" s="172"/>
    </row>
    <row r="68" spans="2:13" ht="12.75">
      <c r="B68" s="3" t="s">
        <v>60</v>
      </c>
      <c r="F68" s="172"/>
      <c r="G68" s="172"/>
      <c r="H68" s="172"/>
      <c r="I68" s="172"/>
      <c r="J68" s="172"/>
      <c r="K68" s="172"/>
      <c r="L68" s="172"/>
      <c r="M68" s="172"/>
    </row>
    <row r="69" ht="12.75">
      <c r="B69" s="3" t="s">
        <v>140</v>
      </c>
    </row>
    <row r="70" ht="12.75">
      <c r="B70" s="3" t="s">
        <v>134</v>
      </c>
    </row>
    <row r="71" ht="12.75">
      <c r="B71" s="3" t="s">
        <v>139</v>
      </c>
    </row>
    <row r="73" spans="2:12" ht="12.75">
      <c r="B73" s="3" t="s">
        <v>103</v>
      </c>
      <c r="E73"/>
      <c r="I73" s="173"/>
      <c r="J73" s="6"/>
      <c r="K73" s="174"/>
      <c r="L73" s="174"/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83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06" t="s">
        <v>141</v>
      </c>
      <c r="P1" s="110" t="s">
        <v>148</v>
      </c>
    </row>
    <row r="2" ht="12.75">
      <c r="A2" s="106" t="s">
        <v>142</v>
      </c>
    </row>
    <row r="3" ht="12.75">
      <c r="A3" s="106"/>
    </row>
    <row r="4" spans="1:16" ht="18">
      <c r="A4" s="185" t="s">
        <v>254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.75">
      <c r="A5" s="186" t="s">
        <v>91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5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6" s="49" customFormat="1" ht="12.75">
      <c r="A7" s="68"/>
      <c r="B7" s="182" t="s">
        <v>0</v>
      </c>
      <c r="C7" s="183"/>
      <c r="D7" s="183"/>
      <c r="E7" s="183"/>
      <c r="F7" s="184"/>
      <c r="G7" s="69" t="s">
        <v>61</v>
      </c>
      <c r="H7" s="68" t="s">
        <v>62</v>
      </c>
      <c r="I7" s="183" t="s">
        <v>38</v>
      </c>
      <c r="J7" s="183"/>
      <c r="K7" s="184"/>
      <c r="L7" s="68" t="s">
        <v>118</v>
      </c>
      <c r="M7" s="68" t="s">
        <v>1</v>
      </c>
      <c r="N7" s="70"/>
      <c r="O7" s="68" t="s">
        <v>0</v>
      </c>
      <c r="P7" s="68" t="s">
        <v>0</v>
      </c>
    </row>
    <row r="8" spans="1:16" s="49" customFormat="1" ht="12.75">
      <c r="A8" s="71" t="s">
        <v>20</v>
      </c>
      <c r="B8" s="72" t="s">
        <v>96</v>
      </c>
      <c r="C8" s="71" t="s">
        <v>97</v>
      </c>
      <c r="D8" s="182" t="s">
        <v>95</v>
      </c>
      <c r="E8" s="183"/>
      <c r="F8" s="184"/>
      <c r="G8" s="66" t="s">
        <v>2</v>
      </c>
      <c r="H8" s="71" t="s">
        <v>2</v>
      </c>
      <c r="I8" s="72" t="s">
        <v>96</v>
      </c>
      <c r="J8" s="71" t="s">
        <v>136</v>
      </c>
      <c r="K8" s="71" t="s">
        <v>105</v>
      </c>
      <c r="L8" s="71" t="s">
        <v>119</v>
      </c>
      <c r="M8" s="71" t="s">
        <v>3</v>
      </c>
      <c r="N8" s="70"/>
      <c r="O8" s="71" t="s">
        <v>63</v>
      </c>
      <c r="P8" s="71" t="s">
        <v>37</v>
      </c>
    </row>
    <row r="9" spans="1:16" s="49" customFormat="1" ht="12.75">
      <c r="A9" s="73"/>
      <c r="B9" s="74"/>
      <c r="C9" s="73"/>
      <c r="D9" s="73" t="s">
        <v>96</v>
      </c>
      <c r="E9" s="73" t="s">
        <v>36</v>
      </c>
      <c r="F9" s="73" t="s">
        <v>106</v>
      </c>
      <c r="G9" s="75"/>
      <c r="H9" s="73"/>
      <c r="I9" s="74"/>
      <c r="J9" s="73" t="s">
        <v>137</v>
      </c>
      <c r="K9" s="73"/>
      <c r="L9" s="73" t="s">
        <v>120</v>
      </c>
      <c r="M9" s="73"/>
      <c r="N9" s="70"/>
      <c r="O9" s="73"/>
      <c r="P9" s="73"/>
    </row>
    <row r="10" spans="2:16" ht="12.7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O10" s="76"/>
      <c r="P10" s="76"/>
    </row>
    <row r="11" spans="1:16" s="49" customFormat="1" ht="12.75">
      <c r="A11" s="77" t="s">
        <v>16</v>
      </c>
      <c r="B11" s="78">
        <v>36836413.6928</v>
      </c>
      <c r="C11" s="78">
        <v>25937291.4756</v>
      </c>
      <c r="D11" s="78">
        <v>10899122.2165</v>
      </c>
      <c r="E11" s="78">
        <v>4350042.1166</v>
      </c>
      <c r="F11" s="78">
        <v>6549080.0999</v>
      </c>
      <c r="G11" s="78">
        <v>4900653.8188</v>
      </c>
      <c r="H11" s="78">
        <v>47515866.7178</v>
      </c>
      <c r="I11" s="78">
        <v>28559220.2482</v>
      </c>
      <c r="J11" s="78">
        <v>5862496.8492</v>
      </c>
      <c r="K11" s="78">
        <v>22696723.399</v>
      </c>
      <c r="L11" s="78">
        <v>5210055.7284</v>
      </c>
      <c r="M11" s="78">
        <v>3366369.3111</v>
      </c>
      <c r="N11" s="79"/>
      <c r="O11" s="78">
        <v>3141535.906</v>
      </c>
      <c r="P11" s="78">
        <v>348597.717</v>
      </c>
    </row>
    <row r="12" spans="1:16" ht="12.75">
      <c r="A12" s="80" t="s">
        <v>28</v>
      </c>
      <c r="B12" s="80">
        <v>166434.1679</v>
      </c>
      <c r="C12" s="80">
        <v>165324.1126</v>
      </c>
      <c r="D12" s="80">
        <v>1110.055</v>
      </c>
      <c r="E12" s="80">
        <v>24.1182</v>
      </c>
      <c r="F12" s="80">
        <v>1085.9368</v>
      </c>
      <c r="G12" s="80">
        <v>162817.1092</v>
      </c>
      <c r="H12" s="80">
        <v>415056.1349</v>
      </c>
      <c r="I12" s="80">
        <v>110572.2611</v>
      </c>
      <c r="J12" s="80">
        <v>15693.3245</v>
      </c>
      <c r="K12" s="80">
        <v>94878.9366</v>
      </c>
      <c r="L12" s="80">
        <v>0</v>
      </c>
      <c r="M12" s="80">
        <v>96283.066</v>
      </c>
      <c r="N12" s="76"/>
      <c r="O12" s="80">
        <v>16231.7348</v>
      </c>
      <c r="P12" s="80">
        <v>3526.1261</v>
      </c>
    </row>
    <row r="13" spans="1:16" ht="12.75">
      <c r="A13" s="81" t="s">
        <v>25</v>
      </c>
      <c r="B13" s="81">
        <v>3579168.6764</v>
      </c>
      <c r="C13" s="81">
        <v>2389161.1041</v>
      </c>
      <c r="D13" s="81">
        <v>1190007.5719</v>
      </c>
      <c r="E13" s="81">
        <v>311791.8239</v>
      </c>
      <c r="F13" s="81">
        <v>878215.748</v>
      </c>
      <c r="G13" s="81">
        <v>241527.4177</v>
      </c>
      <c r="H13" s="81">
        <v>4235436.85</v>
      </c>
      <c r="I13" s="81">
        <v>2938557.4076</v>
      </c>
      <c r="J13" s="81">
        <v>423740.6817</v>
      </c>
      <c r="K13" s="81">
        <v>2514816.7259</v>
      </c>
      <c r="L13" s="81">
        <v>303774.903</v>
      </c>
      <c r="M13" s="81">
        <v>259099.8908</v>
      </c>
      <c r="N13" s="76"/>
      <c r="O13" s="81">
        <v>300585.3171</v>
      </c>
      <c r="P13" s="81">
        <v>40455.9037</v>
      </c>
    </row>
    <row r="14" spans="1:16" ht="12.75">
      <c r="A14" s="81" t="s">
        <v>5</v>
      </c>
      <c r="B14" s="81">
        <v>1149532.4076</v>
      </c>
      <c r="C14" s="81">
        <v>1018715.2647</v>
      </c>
      <c r="D14" s="81">
        <v>130817.1424</v>
      </c>
      <c r="E14" s="81">
        <v>32608.9715</v>
      </c>
      <c r="F14" s="81">
        <v>98208.1709</v>
      </c>
      <c r="G14" s="81">
        <v>250154.5882</v>
      </c>
      <c r="H14" s="81">
        <v>1643293.316</v>
      </c>
      <c r="I14" s="81">
        <v>982250.4091</v>
      </c>
      <c r="J14" s="81">
        <v>131602.2118</v>
      </c>
      <c r="K14" s="81">
        <v>850648.1973</v>
      </c>
      <c r="L14" s="81">
        <v>150619.2716</v>
      </c>
      <c r="M14" s="81">
        <v>115363.5312</v>
      </c>
      <c r="N14" s="76"/>
      <c r="O14" s="81">
        <v>149392.9705</v>
      </c>
      <c r="P14" s="81">
        <v>3750.9215</v>
      </c>
    </row>
    <row r="15" spans="1:16" ht="12.75">
      <c r="A15" s="81" t="s">
        <v>6</v>
      </c>
      <c r="B15" s="81">
        <v>2848624.6962</v>
      </c>
      <c r="C15" s="81">
        <v>2259683.7675</v>
      </c>
      <c r="D15" s="81">
        <v>588940.9281</v>
      </c>
      <c r="E15" s="81">
        <v>353885.3759</v>
      </c>
      <c r="F15" s="81">
        <v>235055.5522</v>
      </c>
      <c r="G15" s="81">
        <v>339659.9695</v>
      </c>
      <c r="H15" s="81">
        <v>3412943.155</v>
      </c>
      <c r="I15" s="81">
        <v>1905869.7568</v>
      </c>
      <c r="J15" s="81">
        <v>183316.6125</v>
      </c>
      <c r="K15" s="81">
        <v>1722553.1443</v>
      </c>
      <c r="L15" s="81">
        <v>483134.5133</v>
      </c>
      <c r="M15" s="81">
        <v>354892.9385</v>
      </c>
      <c r="N15" s="76"/>
      <c r="O15" s="81">
        <v>226537.5932</v>
      </c>
      <c r="P15" s="81">
        <v>24997.6591</v>
      </c>
    </row>
    <row r="16" spans="1:16" ht="12.75">
      <c r="A16" s="81" t="s">
        <v>7</v>
      </c>
      <c r="B16" s="81">
        <v>8098293.8067</v>
      </c>
      <c r="C16" s="81">
        <v>5884080.041</v>
      </c>
      <c r="D16" s="81">
        <v>2214213.765</v>
      </c>
      <c r="E16" s="81">
        <v>869073.6239</v>
      </c>
      <c r="F16" s="81">
        <v>1345140.1411</v>
      </c>
      <c r="G16" s="81">
        <v>806739.5369</v>
      </c>
      <c r="H16" s="81">
        <v>9873686.1905</v>
      </c>
      <c r="I16" s="81">
        <v>6048948.145</v>
      </c>
      <c r="J16" s="81">
        <v>1593153.3955</v>
      </c>
      <c r="K16" s="81">
        <v>4455794.7495</v>
      </c>
      <c r="L16" s="81">
        <v>1186699.9837</v>
      </c>
      <c r="M16" s="81">
        <v>594382.6043</v>
      </c>
      <c r="N16" s="76"/>
      <c r="O16" s="81">
        <v>723759.6329</v>
      </c>
      <c r="P16" s="81">
        <v>71329.6133</v>
      </c>
    </row>
    <row r="17" spans="1:16" ht="12.75">
      <c r="A17" s="81" t="s">
        <v>243</v>
      </c>
      <c r="B17" s="81">
        <v>5535929.2857</v>
      </c>
      <c r="C17" s="81">
        <v>4031492.3722</v>
      </c>
      <c r="D17" s="81">
        <v>1504436.913</v>
      </c>
      <c r="E17" s="81">
        <v>632560.9163</v>
      </c>
      <c r="F17" s="81">
        <v>871875.9967</v>
      </c>
      <c r="G17" s="81">
        <v>872288.7756</v>
      </c>
      <c r="H17" s="81">
        <v>7408108.1685</v>
      </c>
      <c r="I17" s="81">
        <v>4425411.6883</v>
      </c>
      <c r="J17" s="81">
        <v>1183199.7184</v>
      </c>
      <c r="K17" s="81">
        <v>3242211.9699</v>
      </c>
      <c r="L17" s="81">
        <v>598636.5369</v>
      </c>
      <c r="M17" s="81">
        <v>395190.1524</v>
      </c>
      <c r="N17" s="76"/>
      <c r="O17" s="81">
        <v>509098.2882</v>
      </c>
      <c r="P17" s="81">
        <v>39675.1891</v>
      </c>
    </row>
    <row r="18" spans="1:16" ht="12.75">
      <c r="A18" s="81" t="s">
        <v>8</v>
      </c>
      <c r="B18" s="81">
        <v>1693363.7133</v>
      </c>
      <c r="C18" s="81">
        <v>1363952.5372</v>
      </c>
      <c r="D18" s="81">
        <v>329411.1757</v>
      </c>
      <c r="E18" s="81">
        <v>43918.1086</v>
      </c>
      <c r="F18" s="81">
        <v>285493.0671</v>
      </c>
      <c r="G18" s="81">
        <v>92336.2701</v>
      </c>
      <c r="H18" s="81">
        <v>2012252.8118</v>
      </c>
      <c r="I18" s="81">
        <v>1027036.7283</v>
      </c>
      <c r="J18" s="81">
        <v>172169.127</v>
      </c>
      <c r="K18" s="81">
        <v>854867.6013</v>
      </c>
      <c r="L18" s="81">
        <v>483659.0915</v>
      </c>
      <c r="M18" s="81">
        <v>142506.652</v>
      </c>
      <c r="N18" s="76"/>
      <c r="O18" s="81">
        <v>74970.1969</v>
      </c>
      <c r="P18" s="81">
        <v>21812.2664</v>
      </c>
    </row>
    <row r="19" spans="1:16" ht="12.75">
      <c r="A19" s="81" t="s">
        <v>31</v>
      </c>
      <c r="B19" s="81">
        <v>11377.5835</v>
      </c>
      <c r="C19" s="81">
        <v>11377.5835</v>
      </c>
      <c r="D19" s="81">
        <v>0</v>
      </c>
      <c r="E19" s="81">
        <v>0</v>
      </c>
      <c r="F19" s="81">
        <v>0</v>
      </c>
      <c r="G19" s="81">
        <v>130888.0132</v>
      </c>
      <c r="H19" s="81">
        <v>291374.2677</v>
      </c>
      <c r="I19" s="81">
        <v>64744.5182</v>
      </c>
      <c r="J19" s="81">
        <v>4552.3178</v>
      </c>
      <c r="K19" s="81">
        <v>60192.2004</v>
      </c>
      <c r="L19" s="81">
        <v>0</v>
      </c>
      <c r="M19" s="81">
        <v>69653.8787</v>
      </c>
      <c r="N19" s="76"/>
      <c r="O19" s="81">
        <v>0</v>
      </c>
      <c r="P19" s="81">
        <v>0</v>
      </c>
    </row>
    <row r="20" spans="1:16" ht="12.75">
      <c r="A20" s="81" t="s">
        <v>11</v>
      </c>
      <c r="B20" s="81">
        <v>351472.1852</v>
      </c>
      <c r="C20" s="81">
        <v>8034.6931</v>
      </c>
      <c r="D20" s="81">
        <v>343437.4918</v>
      </c>
      <c r="E20" s="81">
        <v>282238.2359</v>
      </c>
      <c r="F20" s="81">
        <v>61199.2559</v>
      </c>
      <c r="G20" s="81">
        <v>4020.2421</v>
      </c>
      <c r="H20" s="81">
        <v>393642.6498</v>
      </c>
      <c r="I20" s="81">
        <v>255134.7306</v>
      </c>
      <c r="J20" s="81">
        <v>10547.8589</v>
      </c>
      <c r="K20" s="81">
        <v>244586.8717</v>
      </c>
      <c r="L20" s="81">
        <v>52059.186</v>
      </c>
      <c r="M20" s="81">
        <v>44854.3899</v>
      </c>
      <c r="N20" s="76"/>
      <c r="O20" s="81">
        <v>0</v>
      </c>
      <c r="P20" s="81">
        <v>946.9694</v>
      </c>
    </row>
    <row r="21" spans="1:16" ht="12.75">
      <c r="A21" s="81" t="s">
        <v>24</v>
      </c>
      <c r="B21" s="81">
        <v>122455.7089</v>
      </c>
      <c r="C21" s="81">
        <v>122455.7086</v>
      </c>
      <c r="D21" s="81">
        <v>0</v>
      </c>
      <c r="E21" s="81">
        <v>0</v>
      </c>
      <c r="F21" s="81">
        <v>0</v>
      </c>
      <c r="G21" s="81">
        <v>8639.1366</v>
      </c>
      <c r="H21" s="81">
        <v>148967.5914</v>
      </c>
      <c r="I21" s="81">
        <v>98849.2238</v>
      </c>
      <c r="J21" s="81">
        <v>6178.382</v>
      </c>
      <c r="K21" s="81">
        <v>92670.8418</v>
      </c>
      <c r="L21" s="81">
        <v>0</v>
      </c>
      <c r="M21" s="81">
        <v>14852.3054</v>
      </c>
      <c r="N21" s="76"/>
      <c r="O21" s="81">
        <v>8873.4365</v>
      </c>
      <c r="P21" s="81">
        <v>1197.4026</v>
      </c>
    </row>
    <row r="22" spans="1:16" ht="12.75">
      <c r="A22" s="81" t="s">
        <v>29</v>
      </c>
      <c r="B22" s="81">
        <v>134227.5611</v>
      </c>
      <c r="C22" s="81">
        <v>134156.2726</v>
      </c>
      <c r="D22" s="81">
        <v>71.2883</v>
      </c>
      <c r="E22" s="81">
        <v>71.2883</v>
      </c>
      <c r="F22" s="81">
        <v>0</v>
      </c>
      <c r="G22" s="81">
        <v>182318.3489</v>
      </c>
      <c r="H22" s="81">
        <v>357792.8297</v>
      </c>
      <c r="I22" s="81">
        <v>160393.4354</v>
      </c>
      <c r="J22" s="81">
        <v>2166.8047</v>
      </c>
      <c r="K22" s="81">
        <v>158226.6307</v>
      </c>
      <c r="L22" s="81">
        <v>0</v>
      </c>
      <c r="M22" s="81">
        <v>92341.9756</v>
      </c>
      <c r="N22" s="76"/>
      <c r="O22" s="81">
        <v>26135.2095</v>
      </c>
      <c r="P22" s="81">
        <v>20.0079</v>
      </c>
    </row>
    <row r="23" spans="1:16" ht="12.75">
      <c r="A23" s="81" t="s">
        <v>9</v>
      </c>
      <c r="B23" s="81">
        <v>130255.8213</v>
      </c>
      <c r="C23" s="81">
        <v>129274.0888</v>
      </c>
      <c r="D23" s="81">
        <v>981.732</v>
      </c>
      <c r="E23" s="81">
        <v>286.8385</v>
      </c>
      <c r="F23" s="81">
        <v>694.8935</v>
      </c>
      <c r="G23" s="81">
        <v>24611.2493</v>
      </c>
      <c r="H23" s="81">
        <v>172693.0676</v>
      </c>
      <c r="I23" s="81">
        <v>138593.6369</v>
      </c>
      <c r="J23" s="81">
        <v>18574.4954</v>
      </c>
      <c r="K23" s="81">
        <v>120019.1415</v>
      </c>
      <c r="L23" s="81">
        <v>2887.3645</v>
      </c>
      <c r="M23" s="81">
        <v>15523.2165</v>
      </c>
      <c r="N23" s="76"/>
      <c r="O23" s="81">
        <v>7893.5236</v>
      </c>
      <c r="P23" s="81">
        <v>2574.4814</v>
      </c>
    </row>
    <row r="24" spans="1:16" ht="12.75">
      <c r="A24" s="81" t="s">
        <v>26</v>
      </c>
      <c r="B24" s="81">
        <v>19500.919</v>
      </c>
      <c r="C24" s="81">
        <v>19500.9188</v>
      </c>
      <c r="D24" s="81">
        <v>0</v>
      </c>
      <c r="E24" s="81">
        <v>0</v>
      </c>
      <c r="F24" s="81">
        <v>0</v>
      </c>
      <c r="G24" s="81">
        <v>33707.7513</v>
      </c>
      <c r="H24" s="81">
        <v>68443.354</v>
      </c>
      <c r="I24" s="81">
        <v>23136.2233</v>
      </c>
      <c r="J24" s="81">
        <v>2995.9464</v>
      </c>
      <c r="K24" s="81">
        <v>20140.2769</v>
      </c>
      <c r="L24" s="81">
        <v>0</v>
      </c>
      <c r="M24" s="81">
        <v>8303.0657</v>
      </c>
      <c r="N24" s="76"/>
      <c r="O24" s="81">
        <v>418.6517</v>
      </c>
      <c r="P24" s="81">
        <v>203.1103</v>
      </c>
    </row>
    <row r="25" spans="1:16" ht="12.75">
      <c r="A25" s="81" t="s">
        <v>250</v>
      </c>
      <c r="B25" s="81">
        <v>140242.1297</v>
      </c>
      <c r="C25" s="81">
        <v>2691.219</v>
      </c>
      <c r="D25" s="81">
        <v>137550.9103</v>
      </c>
      <c r="E25" s="81">
        <v>136794.3697</v>
      </c>
      <c r="F25" s="81">
        <v>756.5406</v>
      </c>
      <c r="G25" s="81">
        <v>2351.4731</v>
      </c>
      <c r="H25" s="81">
        <v>158972.5765</v>
      </c>
      <c r="I25" s="81">
        <v>128033.6922</v>
      </c>
      <c r="J25" s="81">
        <v>2703.201</v>
      </c>
      <c r="K25" s="81">
        <v>125330.4912</v>
      </c>
      <c r="L25" s="81">
        <v>782.4049</v>
      </c>
      <c r="M25" s="81">
        <v>16444.0793</v>
      </c>
      <c r="N25" s="76"/>
      <c r="O25" s="81">
        <v>0</v>
      </c>
      <c r="P25" s="81">
        <v>396.9703</v>
      </c>
    </row>
    <row r="26" spans="1:16" ht="12.75">
      <c r="A26" s="81" t="s">
        <v>30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46794.142</v>
      </c>
      <c r="H26" s="81">
        <v>90056.3094</v>
      </c>
      <c r="I26" s="81">
        <v>34982.8652</v>
      </c>
      <c r="J26" s="81">
        <v>2370.6345</v>
      </c>
      <c r="K26" s="81">
        <v>32612.2307</v>
      </c>
      <c r="L26" s="81">
        <v>0</v>
      </c>
      <c r="M26" s="81">
        <v>20187.3318</v>
      </c>
      <c r="N26" s="76"/>
      <c r="O26" s="81">
        <v>0</v>
      </c>
      <c r="P26" s="81">
        <v>0</v>
      </c>
    </row>
    <row r="27" spans="1:16" ht="12.75">
      <c r="A27" s="81" t="s">
        <v>22</v>
      </c>
      <c r="B27" s="81">
        <v>148691.0623</v>
      </c>
      <c r="C27" s="81">
        <v>7707.3176</v>
      </c>
      <c r="D27" s="81">
        <v>140983.7444</v>
      </c>
      <c r="E27" s="81">
        <v>124733.4397</v>
      </c>
      <c r="F27" s="81">
        <v>16250.3047</v>
      </c>
      <c r="G27" s="81">
        <v>3983.0002</v>
      </c>
      <c r="H27" s="81">
        <v>179698.6886</v>
      </c>
      <c r="I27" s="81">
        <v>133757.2786</v>
      </c>
      <c r="J27" s="81">
        <v>2972.5415</v>
      </c>
      <c r="K27" s="81">
        <v>130784.7371</v>
      </c>
      <c r="L27" s="81">
        <v>17106.226</v>
      </c>
      <c r="M27" s="81">
        <v>17416.9953</v>
      </c>
      <c r="N27" s="76"/>
      <c r="O27" s="81">
        <v>0</v>
      </c>
      <c r="P27" s="81">
        <v>186.8035</v>
      </c>
    </row>
    <row r="28" spans="1:16" ht="12.75">
      <c r="A28" s="81" t="s">
        <v>10</v>
      </c>
      <c r="B28" s="81">
        <v>10139333.3637</v>
      </c>
      <c r="C28" s="81">
        <v>6437386.9607</v>
      </c>
      <c r="D28" s="81">
        <v>3701946.4024</v>
      </c>
      <c r="E28" s="81">
        <v>1405004.5565</v>
      </c>
      <c r="F28" s="81">
        <v>2296941.8459</v>
      </c>
      <c r="G28" s="81">
        <v>1175012.4337</v>
      </c>
      <c r="H28" s="81">
        <v>13205246.1615</v>
      </c>
      <c r="I28" s="81">
        <v>7909714.9352</v>
      </c>
      <c r="J28" s="81">
        <v>1796212.0736</v>
      </c>
      <c r="K28" s="81">
        <v>6113502.8616</v>
      </c>
      <c r="L28" s="81">
        <v>1562324.6218</v>
      </c>
      <c r="M28" s="81">
        <v>842121.5958</v>
      </c>
      <c r="N28" s="76"/>
      <c r="O28" s="81">
        <v>929471.9711</v>
      </c>
      <c r="P28" s="81">
        <v>106452.7315</v>
      </c>
    </row>
    <row r="29" spans="1:16" ht="12.75">
      <c r="A29" s="81" t="s">
        <v>32</v>
      </c>
      <c r="B29" s="81">
        <v>1354356.681</v>
      </c>
      <c r="C29" s="81">
        <v>1239016.6571</v>
      </c>
      <c r="D29" s="81">
        <v>115340.0234</v>
      </c>
      <c r="E29" s="81">
        <v>25448.7025</v>
      </c>
      <c r="F29" s="81">
        <v>89891.3209</v>
      </c>
      <c r="G29" s="81">
        <v>322214.3344</v>
      </c>
      <c r="H29" s="81">
        <v>1900455.7104</v>
      </c>
      <c r="I29" s="81">
        <v>1148980.1549</v>
      </c>
      <c r="J29" s="81">
        <v>118080.9184</v>
      </c>
      <c r="K29" s="81">
        <v>1030899.2365</v>
      </c>
      <c r="L29" s="81">
        <v>203706.5423</v>
      </c>
      <c r="M29" s="81">
        <v>130258.9321</v>
      </c>
      <c r="N29" s="76"/>
      <c r="O29" s="81">
        <v>90794.076</v>
      </c>
      <c r="P29" s="81">
        <v>8822.7633</v>
      </c>
    </row>
    <row r="30" spans="1:16" ht="12.75">
      <c r="A30" s="82" t="s">
        <v>21</v>
      </c>
      <c r="B30" s="82">
        <v>1213153.9225</v>
      </c>
      <c r="C30" s="82">
        <v>713280.8521</v>
      </c>
      <c r="D30" s="82">
        <v>499873.07</v>
      </c>
      <c r="E30" s="82">
        <v>131601.7457</v>
      </c>
      <c r="F30" s="82">
        <v>368271.3243</v>
      </c>
      <c r="G30" s="82">
        <v>200590.0258</v>
      </c>
      <c r="H30" s="82">
        <v>1547746.8837</v>
      </c>
      <c r="I30" s="82">
        <v>1024253.1561</v>
      </c>
      <c r="J30" s="82">
        <v>192266.6028</v>
      </c>
      <c r="K30" s="82">
        <v>831986.5533</v>
      </c>
      <c r="L30" s="82">
        <v>164665.0813</v>
      </c>
      <c r="M30" s="82">
        <v>136692.7089</v>
      </c>
      <c r="N30" s="76"/>
      <c r="O30" s="82">
        <v>77373.3034</v>
      </c>
      <c r="P30" s="82">
        <v>22248.7968</v>
      </c>
    </row>
    <row r="31" ht="12.75">
      <c r="N31" s="76"/>
    </row>
    <row r="32" spans="1:16" ht="12.75">
      <c r="A32" s="78" t="s">
        <v>138</v>
      </c>
      <c r="B32" s="78">
        <v>5962235.4304</v>
      </c>
      <c r="C32" s="78">
        <v>2909898.7094</v>
      </c>
      <c r="D32" s="78">
        <v>3052336.7208</v>
      </c>
      <c r="E32" s="78">
        <v>632916.5325</v>
      </c>
      <c r="F32" s="78">
        <v>2419420.1883</v>
      </c>
      <c r="G32" s="78">
        <v>3351292.8331</v>
      </c>
      <c r="H32" s="78">
        <v>10587926.5728</v>
      </c>
      <c r="I32" s="78">
        <v>6392517.4928</v>
      </c>
      <c r="J32" s="78">
        <v>1610105.0196</v>
      </c>
      <c r="K32" s="78">
        <v>4782412.4732</v>
      </c>
      <c r="L32" s="78">
        <v>2341818.3655</v>
      </c>
      <c r="M32" s="78">
        <v>405213.8761</v>
      </c>
      <c r="N32" s="83"/>
      <c r="O32" s="78">
        <v>188478.3954</v>
      </c>
      <c r="P32" s="78">
        <v>41542.8005</v>
      </c>
    </row>
    <row r="33" ht="12.75">
      <c r="N33" s="76"/>
    </row>
    <row r="34" spans="1:16" s="49" customFormat="1" ht="12.75">
      <c r="A34" s="78" t="s">
        <v>23</v>
      </c>
      <c r="B34" s="78">
        <v>2034857.8778</v>
      </c>
      <c r="C34" s="78">
        <v>1276926.2795</v>
      </c>
      <c r="D34" s="78">
        <v>757931.5979</v>
      </c>
      <c r="E34" s="78">
        <v>485297.5706</v>
      </c>
      <c r="F34" s="78">
        <v>272634.0273</v>
      </c>
      <c r="G34" s="78">
        <v>595640.9269</v>
      </c>
      <c r="H34" s="78">
        <v>3254713.1006</v>
      </c>
      <c r="I34" s="78">
        <v>1856860.0856</v>
      </c>
      <c r="J34" s="78">
        <v>563756.9274</v>
      </c>
      <c r="K34" s="78">
        <v>1293103.1582</v>
      </c>
      <c r="L34" s="78">
        <v>250998.1193</v>
      </c>
      <c r="M34" s="78">
        <v>585430.0193</v>
      </c>
      <c r="N34" s="84"/>
      <c r="O34" s="78">
        <v>101376.9893</v>
      </c>
      <c r="P34" s="78">
        <v>16339.5628</v>
      </c>
    </row>
    <row r="35" spans="1:16" ht="12.75">
      <c r="A35" s="81" t="s">
        <v>34</v>
      </c>
      <c r="B35" s="81">
        <v>1078838.7069</v>
      </c>
      <c r="C35" s="81">
        <v>662241.0982</v>
      </c>
      <c r="D35" s="81">
        <v>416597.6082</v>
      </c>
      <c r="E35" s="81">
        <v>183224.6211</v>
      </c>
      <c r="F35" s="81">
        <v>233372.9871</v>
      </c>
      <c r="G35" s="81">
        <v>104645.3676</v>
      </c>
      <c r="H35" s="81">
        <v>1324715.1905</v>
      </c>
      <c r="I35" s="81">
        <v>808856.2844</v>
      </c>
      <c r="J35" s="81">
        <v>177613.0783</v>
      </c>
      <c r="K35" s="81">
        <v>631243.2061</v>
      </c>
      <c r="L35" s="81">
        <v>197455.8571</v>
      </c>
      <c r="M35" s="81">
        <v>158723.0252</v>
      </c>
      <c r="N35" s="76"/>
      <c r="O35" s="81">
        <v>50201.7592</v>
      </c>
      <c r="P35" s="81">
        <v>11552.7401</v>
      </c>
    </row>
    <row r="36" spans="1:16" ht="12.75">
      <c r="A36" s="81" t="s">
        <v>12</v>
      </c>
      <c r="B36" s="81">
        <v>842563.3434</v>
      </c>
      <c r="C36" s="81">
        <v>501291.2695</v>
      </c>
      <c r="D36" s="81">
        <v>341272.0734</v>
      </c>
      <c r="E36" s="81">
        <v>302011.0334</v>
      </c>
      <c r="F36" s="81">
        <v>39261.04</v>
      </c>
      <c r="G36" s="81">
        <v>309328.8241</v>
      </c>
      <c r="H36" s="81">
        <v>1568287.4786</v>
      </c>
      <c r="I36" s="81">
        <v>953802.1284</v>
      </c>
      <c r="J36" s="81">
        <v>355063.4324</v>
      </c>
      <c r="K36" s="81">
        <v>598738.696</v>
      </c>
      <c r="L36" s="81">
        <v>53542.2622</v>
      </c>
      <c r="M36" s="81">
        <v>248236.3132</v>
      </c>
      <c r="N36" s="76"/>
      <c r="O36" s="81">
        <v>41481.6329</v>
      </c>
      <c r="P36" s="81">
        <v>4769.3007</v>
      </c>
    </row>
    <row r="37" spans="1:16" ht="12.75">
      <c r="A37" s="81" t="s">
        <v>14</v>
      </c>
      <c r="B37" s="81">
        <v>14632.1611</v>
      </c>
      <c r="C37" s="81">
        <v>14587.7325</v>
      </c>
      <c r="D37" s="81">
        <v>44.4283</v>
      </c>
      <c r="E37" s="81">
        <v>44.4283</v>
      </c>
      <c r="F37" s="81">
        <v>0</v>
      </c>
      <c r="G37" s="81">
        <v>45.1677</v>
      </c>
      <c r="H37" s="81">
        <v>17964.1131</v>
      </c>
      <c r="I37" s="81">
        <v>2445.4892</v>
      </c>
      <c r="J37" s="81">
        <v>1375.9426</v>
      </c>
      <c r="K37" s="81">
        <v>1069.5466</v>
      </c>
      <c r="L37" s="81">
        <v>0</v>
      </c>
      <c r="M37" s="81">
        <v>14447.8508</v>
      </c>
      <c r="N37" s="76"/>
      <c r="O37" s="81">
        <v>1551.5753</v>
      </c>
      <c r="P37" s="81">
        <v>15.9268</v>
      </c>
    </row>
    <row r="38" spans="1:16" ht="12.75">
      <c r="A38" s="81" t="s">
        <v>13</v>
      </c>
      <c r="B38" s="81">
        <v>33352.0913</v>
      </c>
      <c r="C38" s="81">
        <v>33334.6036</v>
      </c>
      <c r="D38" s="81">
        <v>17.4874</v>
      </c>
      <c r="E38" s="81">
        <v>17.4874</v>
      </c>
      <c r="F38" s="81">
        <v>0</v>
      </c>
      <c r="G38" s="81">
        <v>0.8006</v>
      </c>
      <c r="H38" s="81">
        <v>37715.8913</v>
      </c>
      <c r="I38" s="81">
        <v>4344.8433</v>
      </c>
      <c r="J38" s="81">
        <v>1186.3632</v>
      </c>
      <c r="K38" s="81">
        <v>3158.4801</v>
      </c>
      <c r="L38" s="81">
        <v>0</v>
      </c>
      <c r="M38" s="81">
        <v>20400.8074</v>
      </c>
      <c r="N38" s="76"/>
      <c r="O38" s="81">
        <v>7455.7114</v>
      </c>
      <c r="P38" s="81">
        <v>1.5949</v>
      </c>
    </row>
    <row r="39" spans="1:16" ht="12.75">
      <c r="A39" s="81" t="s">
        <v>35</v>
      </c>
      <c r="B39" s="81">
        <v>36467.9192</v>
      </c>
      <c r="C39" s="81">
        <v>36467.9191</v>
      </c>
      <c r="D39" s="81">
        <v>0</v>
      </c>
      <c r="E39" s="81">
        <v>0</v>
      </c>
      <c r="F39" s="81">
        <v>0</v>
      </c>
      <c r="G39" s="81">
        <v>14617.2975</v>
      </c>
      <c r="H39" s="81">
        <v>58648.5688</v>
      </c>
      <c r="I39" s="81">
        <v>41510.141</v>
      </c>
      <c r="J39" s="81">
        <v>14843.6268</v>
      </c>
      <c r="K39" s="81">
        <v>26666.5142</v>
      </c>
      <c r="L39" s="81">
        <v>0</v>
      </c>
      <c r="M39" s="81">
        <v>14081.7684</v>
      </c>
      <c r="N39" s="76"/>
      <c r="O39" s="81">
        <v>686.3103</v>
      </c>
      <c r="P39" s="81">
        <v>0</v>
      </c>
    </row>
    <row r="40" spans="1:16" ht="12.75">
      <c r="A40" s="82" t="s">
        <v>33</v>
      </c>
      <c r="B40" s="82">
        <v>29003.6557</v>
      </c>
      <c r="C40" s="82">
        <v>29003.6557</v>
      </c>
      <c r="D40" s="82">
        <v>0</v>
      </c>
      <c r="E40" s="82">
        <v>0</v>
      </c>
      <c r="F40" s="82">
        <v>0</v>
      </c>
      <c r="G40" s="82">
        <v>167003.469</v>
      </c>
      <c r="H40" s="82">
        <v>247381.8582</v>
      </c>
      <c r="I40" s="82">
        <v>45901.199</v>
      </c>
      <c r="J40" s="82">
        <v>13674.4839</v>
      </c>
      <c r="K40" s="82">
        <v>32226.7151</v>
      </c>
      <c r="L40" s="82">
        <v>0</v>
      </c>
      <c r="M40" s="82">
        <v>129540.2541</v>
      </c>
      <c r="N40" s="76"/>
      <c r="O40" s="82">
        <v>0</v>
      </c>
      <c r="P40" s="82">
        <v>0</v>
      </c>
    </row>
    <row r="41" spans="10:16" ht="12.75">
      <c r="J41" s="76"/>
      <c r="K41" s="76"/>
      <c r="L41" s="76"/>
      <c r="M41" s="76"/>
      <c r="N41" s="76"/>
      <c r="O41" s="76"/>
      <c r="P41" s="76"/>
    </row>
    <row r="42" spans="1:16" s="49" customFormat="1" ht="12.75">
      <c r="A42" s="77" t="s">
        <v>15</v>
      </c>
      <c r="B42" s="78">
        <v>44833507.0011</v>
      </c>
      <c r="C42" s="78">
        <v>30124116.4651</v>
      </c>
      <c r="D42" s="78">
        <v>14709390.5354</v>
      </c>
      <c r="E42" s="78">
        <v>5468256.2198</v>
      </c>
      <c r="F42" s="78">
        <v>9241134.3156</v>
      </c>
      <c r="G42" s="78">
        <v>8847587.5788</v>
      </c>
      <c r="H42" s="78">
        <v>61358506.3913</v>
      </c>
      <c r="I42" s="78">
        <v>36808597.8268</v>
      </c>
      <c r="J42" s="78">
        <v>8036358.7963</v>
      </c>
      <c r="K42" s="78">
        <v>28772239.0305</v>
      </c>
      <c r="L42" s="78">
        <v>7802872.2132</v>
      </c>
      <c r="M42" s="78">
        <v>4357013.2066</v>
      </c>
      <c r="N42" s="48"/>
      <c r="O42" s="78">
        <v>3431391.2908</v>
      </c>
      <c r="P42" s="78">
        <v>406480.0804</v>
      </c>
    </row>
    <row r="43" spans="1:16" s="49" customFormat="1" ht="12.7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48"/>
      <c r="O43" s="86"/>
      <c r="P43" s="86"/>
    </row>
    <row r="44" ht="12.75">
      <c r="A44" s="45"/>
    </row>
    <row r="45" ht="12.75">
      <c r="N45" s="49"/>
    </row>
    <row r="46" spans="1:14" ht="12.75">
      <c r="A46" s="3" t="s">
        <v>103</v>
      </c>
      <c r="N46" s="49"/>
    </row>
    <row r="47" ht="12.75">
      <c r="N47" s="49"/>
    </row>
    <row r="48" ht="12.75">
      <c r="N48" s="49"/>
    </row>
    <row r="49" ht="12.75">
      <c r="N49" s="49"/>
    </row>
    <row r="50" ht="12.75">
      <c r="N50" s="49"/>
    </row>
    <row r="51" ht="12.75">
      <c r="N51" s="49"/>
    </row>
    <row r="52" ht="12.75"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8" spans="1:13" ht="12.75">
      <c r="A58" s="47"/>
      <c r="B58" s="49"/>
      <c r="C58" s="49"/>
      <c r="D58" s="49"/>
      <c r="E58" s="49"/>
      <c r="F58" s="49"/>
      <c r="G58" s="49"/>
      <c r="H58" s="49"/>
      <c r="I58" s="49"/>
      <c r="J58" s="48"/>
      <c r="K58" s="49"/>
      <c r="L58" s="49"/>
      <c r="M58" s="49"/>
    </row>
    <row r="59" spans="1:13" ht="12.75">
      <c r="A59" s="49" t="s">
        <v>17</v>
      </c>
      <c r="B59" s="49"/>
      <c r="C59" s="49"/>
      <c r="D59" s="49"/>
      <c r="E59" s="49"/>
      <c r="F59" s="49"/>
      <c r="G59" s="49"/>
      <c r="H59" s="49"/>
      <c r="I59" s="49"/>
      <c r="J59" s="48"/>
      <c r="K59" s="49"/>
      <c r="L59" s="49"/>
      <c r="M59" s="49"/>
    </row>
    <row r="60" spans="1:13" ht="12.75">
      <c r="A60" s="49" t="s">
        <v>18</v>
      </c>
      <c r="B60" s="49"/>
      <c r="C60" s="49"/>
      <c r="D60" s="49"/>
      <c r="E60" s="49"/>
      <c r="F60" s="49"/>
      <c r="G60" s="49"/>
      <c r="H60" s="49"/>
      <c r="I60" s="49"/>
      <c r="J60" s="48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8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7" t="s">
        <v>19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 t="s">
        <v>18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M70" s="49"/>
    </row>
    <row r="71" spans="1:13" ht="12.75">
      <c r="A71" s="49"/>
      <c r="M71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2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A1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375" style="3" bestFit="1" customWidth="1"/>
    <col min="3" max="3" width="13.50390625" style="3" bestFit="1" customWidth="1"/>
    <col min="4" max="4" width="16.875" style="3" bestFit="1" customWidth="1"/>
    <col min="5" max="5" width="18.50390625" style="3" bestFit="1" customWidth="1"/>
    <col min="6" max="6" width="15.50390625" style="3" bestFit="1" customWidth="1"/>
    <col min="7" max="7" width="15.125" style="3" bestFit="1" customWidth="1"/>
    <col min="8" max="8" width="13.375" style="3" bestFit="1" customWidth="1"/>
    <col min="9" max="9" width="14.00390625" style="3" bestFit="1" customWidth="1"/>
    <col min="10" max="10" width="16.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06" t="s">
        <v>141</v>
      </c>
      <c r="Q1" s="110" t="s">
        <v>148</v>
      </c>
    </row>
    <row r="2" ht="12.75">
      <c r="A2" s="106" t="s">
        <v>142</v>
      </c>
    </row>
    <row r="3" spans="1:17" ht="18">
      <c r="A3" s="185" t="s">
        <v>255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6" ht="12.75">
      <c r="A4" s="186" t="s">
        <v>91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12.75">
      <c r="A6" s="68"/>
      <c r="B6" s="68" t="s">
        <v>59</v>
      </c>
      <c r="C6" s="68" t="s">
        <v>39</v>
      </c>
      <c r="D6" s="68" t="s">
        <v>42</v>
      </c>
      <c r="E6" s="87" t="s">
        <v>43</v>
      </c>
      <c r="F6" s="114" t="s">
        <v>44</v>
      </c>
      <c r="G6" s="68" t="s">
        <v>47</v>
      </c>
      <c r="H6" s="68" t="s">
        <v>50</v>
      </c>
      <c r="I6" s="114" t="s">
        <v>44</v>
      </c>
      <c r="J6" s="68" t="s">
        <v>225</v>
      </c>
      <c r="K6" s="114" t="s">
        <v>226</v>
      </c>
      <c r="L6" s="68" t="s">
        <v>43</v>
      </c>
      <c r="M6" s="114" t="s">
        <v>44</v>
      </c>
      <c r="N6" s="68"/>
      <c r="O6" s="114" t="s">
        <v>44</v>
      </c>
      <c r="P6" s="88"/>
      <c r="Q6" s="68" t="s">
        <v>127</v>
      </c>
    </row>
    <row r="7" spans="1:17" ht="12.75">
      <c r="A7" s="71" t="s">
        <v>20</v>
      </c>
      <c r="B7" s="71" t="s">
        <v>57</v>
      </c>
      <c r="C7" s="71" t="s">
        <v>40</v>
      </c>
      <c r="D7" s="71" t="s">
        <v>227</v>
      </c>
      <c r="E7" s="66" t="s">
        <v>231</v>
      </c>
      <c r="F7" s="151" t="s">
        <v>45</v>
      </c>
      <c r="G7" s="71" t="s">
        <v>48</v>
      </c>
      <c r="H7" s="71" t="s">
        <v>51</v>
      </c>
      <c r="I7" s="151" t="s">
        <v>45</v>
      </c>
      <c r="J7" s="71" t="s">
        <v>98</v>
      </c>
      <c r="K7" s="151" t="s">
        <v>228</v>
      </c>
      <c r="L7" s="71" t="s">
        <v>54</v>
      </c>
      <c r="M7" s="151" t="s">
        <v>55</v>
      </c>
      <c r="N7" s="71" t="s">
        <v>94</v>
      </c>
      <c r="O7" s="151" t="s">
        <v>4</v>
      </c>
      <c r="P7" s="88"/>
      <c r="Q7" s="71" t="s">
        <v>128</v>
      </c>
    </row>
    <row r="8" spans="1:17" ht="12.75">
      <c r="A8" s="73"/>
      <c r="B8" s="73" t="s">
        <v>58</v>
      </c>
      <c r="C8" s="73"/>
      <c r="D8" s="73" t="s">
        <v>41</v>
      </c>
      <c r="E8" s="74" t="s">
        <v>232</v>
      </c>
      <c r="F8" s="152" t="s">
        <v>46</v>
      </c>
      <c r="G8" s="73" t="s">
        <v>45</v>
      </c>
      <c r="H8" s="73"/>
      <c r="I8" s="152" t="s">
        <v>52</v>
      </c>
      <c r="J8" s="73" t="s">
        <v>229</v>
      </c>
      <c r="K8" s="152" t="s">
        <v>230</v>
      </c>
      <c r="L8" s="73" t="s">
        <v>53</v>
      </c>
      <c r="M8" s="152" t="s">
        <v>56</v>
      </c>
      <c r="N8" s="73"/>
      <c r="O8" s="152"/>
      <c r="P8" s="88"/>
      <c r="Q8" s="73" t="s">
        <v>129</v>
      </c>
    </row>
    <row r="9" spans="3:15" ht="12.75">
      <c r="C9" s="76"/>
      <c r="D9" s="76"/>
      <c r="E9" s="76"/>
      <c r="F9" s="89"/>
      <c r="G9" s="76"/>
      <c r="H9" s="76"/>
      <c r="I9" s="89"/>
      <c r="J9" s="76"/>
      <c r="K9" s="89"/>
      <c r="L9" s="76"/>
      <c r="M9" s="89"/>
      <c r="N9" s="89"/>
      <c r="O9" s="63"/>
    </row>
    <row r="10" spans="1:17" ht="12.75">
      <c r="A10" s="77" t="s">
        <v>16</v>
      </c>
      <c r="B10" s="78">
        <v>1607980.4653</v>
      </c>
      <c r="C10" s="78">
        <v>400405.1802</v>
      </c>
      <c r="D10" s="78">
        <v>136948.4267</v>
      </c>
      <c r="E10" s="78">
        <v>-72401.8676</v>
      </c>
      <c r="F10" s="94">
        <v>2072932.2047</v>
      </c>
      <c r="G10" s="78">
        <v>1026263.312</v>
      </c>
      <c r="H10" s="78">
        <v>330772.1672</v>
      </c>
      <c r="I10" s="94">
        <v>715896.725499999</v>
      </c>
      <c r="J10" s="78">
        <v>107583.8862</v>
      </c>
      <c r="K10" s="94">
        <v>823480.611699999</v>
      </c>
      <c r="L10" s="78">
        <v>-29571.8684</v>
      </c>
      <c r="M10" s="94">
        <v>793908.743</v>
      </c>
      <c r="N10" s="78">
        <v>98270.1325</v>
      </c>
      <c r="O10" s="94">
        <v>695638.6104</v>
      </c>
      <c r="P10" s="88"/>
      <c r="Q10" s="78">
        <v>357067.55</v>
      </c>
    </row>
    <row r="11" spans="1:17" ht="12.75">
      <c r="A11" s="80" t="s">
        <v>28</v>
      </c>
      <c r="B11" s="80">
        <v>10876.2732</v>
      </c>
      <c r="C11" s="80">
        <v>5546.4155</v>
      </c>
      <c r="D11" s="80">
        <v>132.6301</v>
      </c>
      <c r="E11" s="80">
        <v>-4530.89660000004</v>
      </c>
      <c r="F11" s="90">
        <v>12024.4222</v>
      </c>
      <c r="G11" s="80">
        <v>10372.3884</v>
      </c>
      <c r="H11" s="80">
        <v>192.4244</v>
      </c>
      <c r="I11" s="90">
        <v>1459.60939999996</v>
      </c>
      <c r="J11" s="80">
        <v>20.8389</v>
      </c>
      <c r="K11" s="90">
        <v>1480.4482999999</v>
      </c>
      <c r="L11" s="80">
        <v>152.2791</v>
      </c>
      <c r="M11" s="90">
        <v>1632.7272</v>
      </c>
      <c r="N11" s="80">
        <v>348.582</v>
      </c>
      <c r="O11" s="90">
        <v>1284.1451</v>
      </c>
      <c r="Q11" s="80">
        <v>414.4195</v>
      </c>
    </row>
    <row r="12" spans="1:17" ht="12.75">
      <c r="A12" s="81" t="s">
        <v>25</v>
      </c>
      <c r="B12" s="81">
        <v>102814.8648</v>
      </c>
      <c r="C12" s="81">
        <v>32772.6748</v>
      </c>
      <c r="D12" s="81">
        <v>16965.13</v>
      </c>
      <c r="E12" s="81">
        <v>-4624.92110000005</v>
      </c>
      <c r="F12" s="91">
        <v>147927.7485</v>
      </c>
      <c r="G12" s="81">
        <v>92038.7297</v>
      </c>
      <c r="H12" s="81">
        <v>32600.816</v>
      </c>
      <c r="I12" s="91">
        <v>23288.2028</v>
      </c>
      <c r="J12" s="81">
        <v>5526.7923</v>
      </c>
      <c r="K12" s="91">
        <v>28814.9953000001</v>
      </c>
      <c r="L12" s="81">
        <v>4364.2398</v>
      </c>
      <c r="M12" s="91">
        <v>33179.2349</v>
      </c>
      <c r="N12" s="81">
        <v>3800.6819</v>
      </c>
      <c r="O12" s="91">
        <v>29378.553</v>
      </c>
      <c r="Q12" s="81">
        <v>43793.5183</v>
      </c>
    </row>
    <row r="13" spans="1:17" ht="12.75">
      <c r="A13" s="81" t="s">
        <v>5</v>
      </c>
      <c r="B13" s="81">
        <v>35987.2943</v>
      </c>
      <c r="C13" s="81">
        <v>7785.5156</v>
      </c>
      <c r="D13" s="81">
        <v>489.6585</v>
      </c>
      <c r="E13" s="81">
        <v>-2223.81260000003</v>
      </c>
      <c r="F13" s="91">
        <v>42038.6558</v>
      </c>
      <c r="G13" s="81">
        <v>25473.7192</v>
      </c>
      <c r="H13" s="81">
        <v>1995.1905</v>
      </c>
      <c r="I13" s="91">
        <v>14569.7461</v>
      </c>
      <c r="J13" s="81">
        <v>6324.8565</v>
      </c>
      <c r="K13" s="91">
        <v>20894.6028</v>
      </c>
      <c r="L13" s="81">
        <v>214.2555</v>
      </c>
      <c r="M13" s="91">
        <v>21108.8582</v>
      </c>
      <c r="N13" s="81">
        <v>2200.3659</v>
      </c>
      <c r="O13" s="91">
        <v>18908.4922</v>
      </c>
      <c r="Q13" s="81">
        <v>2055.7722</v>
      </c>
    </row>
    <row r="14" spans="1:17" ht="12.75">
      <c r="A14" s="81" t="s">
        <v>6</v>
      </c>
      <c r="B14" s="81">
        <v>111539.4702</v>
      </c>
      <c r="C14" s="81">
        <v>18846.5856</v>
      </c>
      <c r="D14" s="81">
        <v>8770.5184</v>
      </c>
      <c r="E14" s="81">
        <v>-6104.28580000005</v>
      </c>
      <c r="F14" s="91">
        <v>133052.2885</v>
      </c>
      <c r="G14" s="81">
        <v>54832.5975</v>
      </c>
      <c r="H14" s="81">
        <v>22601.7489</v>
      </c>
      <c r="I14" s="91">
        <v>55617.9420999999</v>
      </c>
      <c r="J14" s="81">
        <v>7707.2537</v>
      </c>
      <c r="K14" s="91">
        <v>63325.1959999999</v>
      </c>
      <c r="L14" s="81">
        <v>-1486.18580000004</v>
      </c>
      <c r="M14" s="91">
        <v>61839.01</v>
      </c>
      <c r="N14" s="81">
        <v>9206.1904</v>
      </c>
      <c r="O14" s="91">
        <v>52632.8196</v>
      </c>
      <c r="Q14" s="81">
        <v>16248.9213</v>
      </c>
    </row>
    <row r="15" spans="1:17" ht="12.75">
      <c r="A15" s="81" t="s">
        <v>7</v>
      </c>
      <c r="B15" s="81">
        <v>339600.5794</v>
      </c>
      <c r="C15" s="81">
        <v>101022.8341</v>
      </c>
      <c r="D15" s="81">
        <v>32985.9823</v>
      </c>
      <c r="E15" s="81">
        <v>-11786.3742</v>
      </c>
      <c r="F15" s="91">
        <v>461823.0216</v>
      </c>
      <c r="G15" s="81">
        <v>220734.6561</v>
      </c>
      <c r="H15" s="81">
        <v>56936.8078</v>
      </c>
      <c r="I15" s="91">
        <v>184151.5577</v>
      </c>
      <c r="J15" s="81">
        <v>16977.2381</v>
      </c>
      <c r="K15" s="91">
        <v>201128.7961</v>
      </c>
      <c r="L15" s="81">
        <v>-3560.67660000001</v>
      </c>
      <c r="M15" s="91">
        <v>197568.1194</v>
      </c>
      <c r="N15" s="81">
        <v>16844.4336</v>
      </c>
      <c r="O15" s="91">
        <v>180723.6857</v>
      </c>
      <c r="Q15" s="81">
        <v>66285.0459</v>
      </c>
    </row>
    <row r="16" spans="1:17" ht="12.75">
      <c r="A16" s="81" t="s">
        <v>243</v>
      </c>
      <c r="B16" s="81">
        <v>225723.0992</v>
      </c>
      <c r="C16" s="81">
        <v>55288.0198</v>
      </c>
      <c r="D16" s="81">
        <v>17121.0933</v>
      </c>
      <c r="E16" s="81">
        <v>-234.433600000013</v>
      </c>
      <c r="F16" s="91">
        <v>297897.7787</v>
      </c>
      <c r="G16" s="81">
        <v>150327.6796</v>
      </c>
      <c r="H16" s="81">
        <v>43157.0376</v>
      </c>
      <c r="I16" s="91">
        <v>104413.0615</v>
      </c>
      <c r="J16" s="81">
        <v>24313.5418</v>
      </c>
      <c r="K16" s="91">
        <v>128726.6035</v>
      </c>
      <c r="L16" s="81">
        <v>-8669.77630000003</v>
      </c>
      <c r="M16" s="91">
        <v>120056.8269</v>
      </c>
      <c r="N16" s="81">
        <v>14372.5429</v>
      </c>
      <c r="O16" s="91">
        <v>105684.284</v>
      </c>
      <c r="Q16" s="81">
        <v>43779.8819</v>
      </c>
    </row>
    <row r="17" spans="1:17" ht="12.75">
      <c r="A17" s="81" t="s">
        <v>8</v>
      </c>
      <c r="B17" s="81">
        <v>69911.5566</v>
      </c>
      <c r="C17" s="81">
        <v>19843.2061</v>
      </c>
      <c r="D17" s="81">
        <v>7012.1929</v>
      </c>
      <c r="E17" s="81">
        <v>-1684.76540000002</v>
      </c>
      <c r="F17" s="91">
        <v>95082.1902</v>
      </c>
      <c r="G17" s="81">
        <v>48851.9819</v>
      </c>
      <c r="H17" s="81">
        <v>22445.1299</v>
      </c>
      <c r="I17" s="91">
        <v>23785.0784</v>
      </c>
      <c r="J17" s="81">
        <v>1340.7493</v>
      </c>
      <c r="K17" s="91">
        <v>25125.8278</v>
      </c>
      <c r="L17" s="81">
        <v>-2087.2415</v>
      </c>
      <c r="M17" s="91">
        <v>23038.5861</v>
      </c>
      <c r="N17" s="81">
        <v>2660.2531</v>
      </c>
      <c r="O17" s="91">
        <v>20378.333</v>
      </c>
      <c r="Q17" s="81">
        <v>14205.6762</v>
      </c>
    </row>
    <row r="18" spans="1:17" ht="12.75">
      <c r="A18" s="81" t="s">
        <v>31</v>
      </c>
      <c r="B18" s="81">
        <v>11548.8592</v>
      </c>
      <c r="C18" s="81">
        <v>-221.986100000038</v>
      </c>
      <c r="D18" s="81">
        <v>0</v>
      </c>
      <c r="E18" s="81">
        <v>2193.37009999998</v>
      </c>
      <c r="F18" s="91">
        <v>13520.2431999999</v>
      </c>
      <c r="G18" s="81">
        <v>4289.1556</v>
      </c>
      <c r="H18" s="81">
        <v>37.6915</v>
      </c>
      <c r="I18" s="91">
        <v>9193.39609999995</v>
      </c>
      <c r="J18" s="81">
        <v>0</v>
      </c>
      <c r="K18" s="91">
        <v>9193.39609999997</v>
      </c>
      <c r="L18" s="81">
        <v>1.0054</v>
      </c>
      <c r="M18" s="91">
        <v>9194.4015</v>
      </c>
      <c r="N18" s="81">
        <v>1447.5525</v>
      </c>
      <c r="O18" s="91">
        <v>7746.849</v>
      </c>
      <c r="Q18" s="81">
        <v>0</v>
      </c>
    </row>
    <row r="19" spans="1:17" ht="12.75">
      <c r="A19" s="81" t="s">
        <v>11</v>
      </c>
      <c r="B19" s="81">
        <v>37347.7163</v>
      </c>
      <c r="C19" s="81">
        <v>8643.0626</v>
      </c>
      <c r="D19" s="81">
        <v>1652.9442</v>
      </c>
      <c r="E19" s="81">
        <v>-1715.57320000002</v>
      </c>
      <c r="F19" s="91">
        <v>45928.15</v>
      </c>
      <c r="G19" s="81">
        <v>19530.2421</v>
      </c>
      <c r="H19" s="81">
        <v>10916.0618</v>
      </c>
      <c r="I19" s="91">
        <v>15481.8461</v>
      </c>
      <c r="J19" s="81">
        <v>2.7959</v>
      </c>
      <c r="K19" s="91">
        <v>15484.642</v>
      </c>
      <c r="L19" s="81">
        <v>284.4406</v>
      </c>
      <c r="M19" s="91">
        <v>15769.0826</v>
      </c>
      <c r="N19" s="81">
        <v>2664.7777</v>
      </c>
      <c r="O19" s="91">
        <v>13104.3048</v>
      </c>
      <c r="Q19" s="81">
        <v>8281.6685</v>
      </c>
    </row>
    <row r="20" spans="1:17" ht="12.75">
      <c r="A20" s="81" t="s">
        <v>24</v>
      </c>
      <c r="B20" s="81">
        <v>6928.8439</v>
      </c>
      <c r="C20" s="81">
        <v>560.4458</v>
      </c>
      <c r="D20" s="81">
        <v>535.1232</v>
      </c>
      <c r="E20" s="81">
        <v>1089.00449999996</v>
      </c>
      <c r="F20" s="91">
        <v>9113.41739999996</v>
      </c>
      <c r="G20" s="81">
        <v>7324.6214</v>
      </c>
      <c r="H20" s="81">
        <v>1286.932</v>
      </c>
      <c r="I20" s="91">
        <v>501.863999999962</v>
      </c>
      <c r="J20" s="81">
        <v>-3.89530000003288</v>
      </c>
      <c r="K20" s="91">
        <v>497.968899999931</v>
      </c>
      <c r="L20" s="81">
        <v>-1.49360000004526</v>
      </c>
      <c r="M20" s="91">
        <v>496.4749</v>
      </c>
      <c r="N20" s="81">
        <v>-13.7779000000446</v>
      </c>
      <c r="O20" s="91">
        <v>510.2529</v>
      </c>
      <c r="Q20" s="81">
        <v>1104.4919</v>
      </c>
    </row>
    <row r="21" spans="1:17" ht="12.75">
      <c r="A21" s="81" t="s">
        <v>29</v>
      </c>
      <c r="B21" s="81">
        <v>4570.916</v>
      </c>
      <c r="C21" s="81">
        <v>533.4703</v>
      </c>
      <c r="D21" s="81">
        <v>0</v>
      </c>
      <c r="E21" s="81">
        <v>-4187.53340000003</v>
      </c>
      <c r="F21" s="91">
        <v>916.852899999927</v>
      </c>
      <c r="G21" s="81">
        <v>6956.0441</v>
      </c>
      <c r="H21" s="81">
        <v>-407.33600000001</v>
      </c>
      <c r="I21" s="91">
        <v>-5631.85520000006</v>
      </c>
      <c r="J21" s="81">
        <v>1.9391</v>
      </c>
      <c r="K21" s="91">
        <v>-5629.91600000016</v>
      </c>
      <c r="L21" s="81">
        <v>60.2616</v>
      </c>
      <c r="M21" s="91">
        <v>-5569.65420000005</v>
      </c>
      <c r="N21" s="81">
        <v>-980.313400000043</v>
      </c>
      <c r="O21" s="91">
        <v>-4589.3407</v>
      </c>
      <c r="Q21" s="81">
        <v>0</v>
      </c>
    </row>
    <row r="22" spans="1:17" ht="12.75">
      <c r="A22" s="81" t="s">
        <v>9</v>
      </c>
      <c r="B22" s="81">
        <v>8843.8594</v>
      </c>
      <c r="C22" s="81">
        <v>1085.1431</v>
      </c>
      <c r="D22" s="81">
        <v>139.9782</v>
      </c>
      <c r="E22" s="81">
        <v>-211.376099999994</v>
      </c>
      <c r="F22" s="91">
        <v>9857.60469999996</v>
      </c>
      <c r="G22" s="81">
        <v>7046.6919</v>
      </c>
      <c r="H22" s="81">
        <v>812.8737</v>
      </c>
      <c r="I22" s="91">
        <v>1998.03909999996</v>
      </c>
      <c r="J22" s="81">
        <v>38.3805</v>
      </c>
      <c r="K22" s="91">
        <v>2036.4198</v>
      </c>
      <c r="L22" s="81">
        <v>9.8853</v>
      </c>
      <c r="M22" s="91">
        <v>2046.3049</v>
      </c>
      <c r="N22" s="81">
        <v>35.3209</v>
      </c>
      <c r="O22" s="91">
        <v>2010.9839</v>
      </c>
      <c r="Q22" s="81">
        <v>231.4396</v>
      </c>
    </row>
    <row r="23" spans="1:17" ht="12.75">
      <c r="A23" s="81" t="s">
        <v>26</v>
      </c>
      <c r="B23" s="81">
        <v>1837.295</v>
      </c>
      <c r="C23" s="81">
        <v>44.8054</v>
      </c>
      <c r="D23" s="81">
        <v>0</v>
      </c>
      <c r="E23" s="81">
        <v>-158.281300000045</v>
      </c>
      <c r="F23" s="91">
        <v>1723.81909999992</v>
      </c>
      <c r="G23" s="81">
        <v>1769.8011</v>
      </c>
      <c r="H23" s="81">
        <v>93.6429</v>
      </c>
      <c r="I23" s="91">
        <v>-139.624900000079</v>
      </c>
      <c r="J23" s="81">
        <v>21.1167</v>
      </c>
      <c r="K23" s="91">
        <v>-118.508100000046</v>
      </c>
      <c r="L23" s="81">
        <v>188.0128</v>
      </c>
      <c r="M23" s="91">
        <v>69.5047</v>
      </c>
      <c r="N23" s="81">
        <v>9.8293</v>
      </c>
      <c r="O23" s="91">
        <v>59.6753</v>
      </c>
      <c r="Q23" s="81">
        <v>0</v>
      </c>
    </row>
    <row r="24" spans="1:17" ht="12.75">
      <c r="A24" s="81" t="s">
        <v>251</v>
      </c>
      <c r="B24" s="81">
        <v>18882.4889</v>
      </c>
      <c r="C24" s="81">
        <v>6595.6924</v>
      </c>
      <c r="D24" s="81">
        <v>747.7568</v>
      </c>
      <c r="E24" s="81">
        <v>-283.089500000039</v>
      </c>
      <c r="F24" s="91">
        <v>25942.8485999999</v>
      </c>
      <c r="G24" s="81">
        <v>13951.8286</v>
      </c>
      <c r="H24" s="81">
        <v>7415.1629</v>
      </c>
      <c r="I24" s="91">
        <v>4575.85709999994</v>
      </c>
      <c r="J24" s="81">
        <v>0</v>
      </c>
      <c r="K24" s="91">
        <v>4575.85729999996</v>
      </c>
      <c r="L24" s="81">
        <v>367.2109</v>
      </c>
      <c r="M24" s="91">
        <v>4943.0681</v>
      </c>
      <c r="N24" s="81">
        <v>841.9023</v>
      </c>
      <c r="O24" s="91">
        <v>4101.1657</v>
      </c>
      <c r="Q24" s="81">
        <v>6511.3823</v>
      </c>
    </row>
    <row r="25" spans="1:17" ht="12.75">
      <c r="A25" s="81" t="s">
        <v>30</v>
      </c>
      <c r="B25" s="81">
        <v>184.7708</v>
      </c>
      <c r="C25" s="81">
        <v>-9.00280000001658</v>
      </c>
      <c r="D25" s="81">
        <v>0</v>
      </c>
      <c r="E25" s="81">
        <v>1501.50209999997</v>
      </c>
      <c r="F25" s="91">
        <v>1677.26999999995</v>
      </c>
      <c r="G25" s="81">
        <v>8154.8663</v>
      </c>
      <c r="H25" s="81">
        <v>0</v>
      </c>
      <c r="I25" s="91">
        <v>-6477.59630000005</v>
      </c>
      <c r="J25" s="81">
        <v>1080.0709</v>
      </c>
      <c r="K25" s="91">
        <v>-5397.5254</v>
      </c>
      <c r="L25" s="81">
        <v>17.4319</v>
      </c>
      <c r="M25" s="91">
        <v>-5380.09350000002</v>
      </c>
      <c r="N25" s="81">
        <v>-1096.72450000001</v>
      </c>
      <c r="O25" s="91">
        <v>-4283.3689</v>
      </c>
      <c r="Q25" s="81">
        <v>0</v>
      </c>
    </row>
    <row r="26" spans="1:17" ht="12.75">
      <c r="A26" s="81" t="s">
        <v>22</v>
      </c>
      <c r="B26" s="81">
        <v>16310.5298</v>
      </c>
      <c r="C26" s="81">
        <v>3613.0941</v>
      </c>
      <c r="D26" s="81">
        <v>0.0125</v>
      </c>
      <c r="E26" s="81">
        <v>333.867599999967</v>
      </c>
      <c r="F26" s="91">
        <v>20257.504</v>
      </c>
      <c r="G26" s="81">
        <v>13833.4512</v>
      </c>
      <c r="H26" s="81">
        <v>4052.0571</v>
      </c>
      <c r="I26" s="91">
        <v>2371.99569999997</v>
      </c>
      <c r="J26" s="81">
        <v>416.1525</v>
      </c>
      <c r="K26" s="91">
        <v>2788.14829999997</v>
      </c>
      <c r="L26" s="81">
        <v>512.3441</v>
      </c>
      <c r="M26" s="91">
        <v>3300.4924</v>
      </c>
      <c r="N26" s="81">
        <v>596.1999</v>
      </c>
      <c r="O26" s="91">
        <v>2704.2924</v>
      </c>
      <c r="Q26" s="81">
        <v>2512.8354</v>
      </c>
    </row>
    <row r="27" spans="1:17" ht="12.75">
      <c r="A27" s="81" t="s">
        <v>10</v>
      </c>
      <c r="B27" s="81">
        <v>513378.6022</v>
      </c>
      <c r="C27" s="81">
        <v>119212.069</v>
      </c>
      <c r="D27" s="81">
        <v>46034.2291</v>
      </c>
      <c r="E27" s="81">
        <v>-30184.6706</v>
      </c>
      <c r="F27" s="91">
        <v>648440.2298</v>
      </c>
      <c r="G27" s="81">
        <v>270089.3732</v>
      </c>
      <c r="H27" s="81">
        <v>109868.1672</v>
      </c>
      <c r="I27" s="91">
        <v>268482.6894</v>
      </c>
      <c r="J27" s="81">
        <v>35012.5285</v>
      </c>
      <c r="K27" s="91">
        <v>303495.218</v>
      </c>
      <c r="L27" s="81">
        <v>-21162.3298</v>
      </c>
      <c r="M27" s="91">
        <v>282332.8879</v>
      </c>
      <c r="N27" s="81">
        <v>42622.9914</v>
      </c>
      <c r="O27" s="91">
        <v>239709.8965</v>
      </c>
      <c r="Q27" s="81">
        <v>136468.2683</v>
      </c>
    </row>
    <row r="28" spans="1:17" ht="12.75">
      <c r="A28" s="81" t="s">
        <v>32</v>
      </c>
      <c r="B28" s="81">
        <v>45111.041</v>
      </c>
      <c r="C28" s="81">
        <v>6771.2739</v>
      </c>
      <c r="D28" s="81">
        <v>1207.0282</v>
      </c>
      <c r="E28" s="81">
        <v>-3541.89230000007</v>
      </c>
      <c r="F28" s="91">
        <v>49547.4507999999</v>
      </c>
      <c r="G28" s="81">
        <v>25634.2957</v>
      </c>
      <c r="H28" s="81">
        <v>4743.0346</v>
      </c>
      <c r="I28" s="91">
        <v>19170.1204999999</v>
      </c>
      <c r="J28" s="81">
        <v>3868.8317</v>
      </c>
      <c r="K28" s="91">
        <v>23038.9524</v>
      </c>
      <c r="L28" s="81">
        <v>-273.048500000034</v>
      </c>
      <c r="M28" s="91">
        <v>22765.9037</v>
      </c>
      <c r="N28" s="81">
        <v>2751.6216</v>
      </c>
      <c r="O28" s="91">
        <v>20014.2821</v>
      </c>
      <c r="Q28" s="81">
        <v>5518.0442</v>
      </c>
    </row>
    <row r="29" spans="1:17" ht="12.75">
      <c r="A29" s="82" t="s">
        <v>21</v>
      </c>
      <c r="B29" s="82">
        <v>46582.4043</v>
      </c>
      <c r="C29" s="82">
        <v>12471.8601</v>
      </c>
      <c r="D29" s="82">
        <v>3154.1483</v>
      </c>
      <c r="E29" s="82">
        <v>-6047.70540000004</v>
      </c>
      <c r="F29" s="92">
        <v>56160.7073</v>
      </c>
      <c r="G29" s="82">
        <v>45051.1874</v>
      </c>
      <c r="H29" s="82">
        <v>12024.7239</v>
      </c>
      <c r="I29" s="92">
        <v>-915.204000000038</v>
      </c>
      <c r="J29" s="82">
        <v>4934.6944</v>
      </c>
      <c r="K29" s="92">
        <v>4019.49049999999</v>
      </c>
      <c r="L29" s="82">
        <v>1497.5164</v>
      </c>
      <c r="M29" s="92">
        <v>5517.0067</v>
      </c>
      <c r="N29" s="82">
        <v>-42.2974000000395</v>
      </c>
      <c r="O29" s="92">
        <v>5559.3042</v>
      </c>
      <c r="Q29" s="82">
        <v>9656.1839</v>
      </c>
    </row>
    <row r="30" spans="6:15" ht="12.75">
      <c r="F30" s="63"/>
      <c r="I30" s="63"/>
      <c r="K30" s="63"/>
      <c r="M30" s="63"/>
      <c r="O30" s="63"/>
    </row>
    <row r="31" spans="1:17" ht="12.75">
      <c r="A31" s="78" t="s">
        <v>138</v>
      </c>
      <c r="B31" s="78">
        <v>248660.3236</v>
      </c>
      <c r="C31" s="78">
        <v>72438.0513</v>
      </c>
      <c r="D31" s="78">
        <v>23796.3094</v>
      </c>
      <c r="E31" s="78">
        <v>8646.90639999996</v>
      </c>
      <c r="F31" s="94">
        <v>353541.5907</v>
      </c>
      <c r="G31" s="78">
        <v>205895.8273</v>
      </c>
      <c r="H31" s="78">
        <v>52116.8324</v>
      </c>
      <c r="I31" s="94">
        <v>95528.9309999998</v>
      </c>
      <c r="J31" s="78">
        <v>7741.75149999998</v>
      </c>
      <c r="K31" s="94">
        <v>103270.6828</v>
      </c>
      <c r="L31" s="78">
        <v>-10990.4161</v>
      </c>
      <c r="M31" s="94">
        <v>92280.2665</v>
      </c>
      <c r="N31" s="78">
        <v>52818.1845</v>
      </c>
      <c r="O31" s="94">
        <v>39462.082</v>
      </c>
      <c r="P31" s="79"/>
      <c r="Q31" s="78">
        <v>42435.0166</v>
      </c>
    </row>
    <row r="32" spans="1:17" ht="12.75">
      <c r="A32" s="79"/>
      <c r="B32" s="79"/>
      <c r="C32" s="79"/>
      <c r="D32" s="79"/>
      <c r="E32" s="79"/>
      <c r="F32" s="63"/>
      <c r="G32" s="79"/>
      <c r="H32" s="79"/>
      <c r="I32" s="63"/>
      <c r="J32" s="79"/>
      <c r="K32" s="63"/>
      <c r="L32" s="79"/>
      <c r="M32" s="63"/>
      <c r="N32" s="79"/>
      <c r="O32" s="63"/>
      <c r="P32" s="79"/>
      <c r="Q32" s="79"/>
    </row>
    <row r="33" spans="1:17" ht="12.75">
      <c r="A33" s="78" t="s">
        <v>23</v>
      </c>
      <c r="B33" s="78">
        <v>196242.2966</v>
      </c>
      <c r="C33" s="78">
        <v>29001.2203</v>
      </c>
      <c r="D33" s="78">
        <v>8239.2226</v>
      </c>
      <c r="E33" s="78">
        <v>-27387.1452</v>
      </c>
      <c r="F33" s="94">
        <v>206095.5943</v>
      </c>
      <c r="G33" s="78">
        <v>146280.3442</v>
      </c>
      <c r="H33" s="78">
        <v>18878.2691</v>
      </c>
      <c r="I33" s="94">
        <v>40936.9809999999</v>
      </c>
      <c r="J33" s="78">
        <v>7118.6217</v>
      </c>
      <c r="K33" s="94">
        <v>48055.6028</v>
      </c>
      <c r="L33" s="78">
        <v>4069.4255</v>
      </c>
      <c r="M33" s="94">
        <v>52125.0281</v>
      </c>
      <c r="N33" s="78">
        <v>9327.4663</v>
      </c>
      <c r="O33" s="94">
        <v>42797.5617</v>
      </c>
      <c r="P33" s="79"/>
      <c r="Q33" s="78">
        <v>28243.1262</v>
      </c>
    </row>
    <row r="34" spans="1:17" ht="12.75">
      <c r="A34" s="81" t="s">
        <v>34</v>
      </c>
      <c r="B34" s="80">
        <v>48121.5355</v>
      </c>
      <c r="C34" s="81">
        <v>9998.5523</v>
      </c>
      <c r="D34" s="81">
        <v>1481.1913</v>
      </c>
      <c r="E34" s="81">
        <v>-2642.06050000005</v>
      </c>
      <c r="F34" s="91">
        <v>56959.2186999999</v>
      </c>
      <c r="G34" s="81">
        <v>41043.1676</v>
      </c>
      <c r="H34" s="81">
        <v>10775.8951</v>
      </c>
      <c r="I34" s="91">
        <v>5140.15599999992</v>
      </c>
      <c r="J34" s="81">
        <v>1722.6697</v>
      </c>
      <c r="K34" s="91">
        <v>6862.82569999996</v>
      </c>
      <c r="L34" s="81">
        <v>1116.0059</v>
      </c>
      <c r="M34" s="91">
        <v>7978.8315</v>
      </c>
      <c r="N34" s="81">
        <v>1002.2568</v>
      </c>
      <c r="O34" s="90">
        <v>6976.5746</v>
      </c>
      <c r="Q34" s="80">
        <v>15339.8758</v>
      </c>
    </row>
    <row r="35" spans="1:17" ht="12.75">
      <c r="A35" s="81" t="s">
        <v>12</v>
      </c>
      <c r="B35" s="81">
        <v>102983.4805</v>
      </c>
      <c r="C35" s="81">
        <v>18655.9264</v>
      </c>
      <c r="D35" s="81">
        <v>6357.3562</v>
      </c>
      <c r="E35" s="81">
        <v>-11351.1402</v>
      </c>
      <c r="F35" s="91">
        <v>116645.6229</v>
      </c>
      <c r="G35" s="81">
        <v>95745.5348</v>
      </c>
      <c r="H35" s="81">
        <v>8058.0059</v>
      </c>
      <c r="I35" s="91">
        <v>12842.0822</v>
      </c>
      <c r="J35" s="81">
        <v>5395.952</v>
      </c>
      <c r="K35" s="91">
        <v>18238.0344</v>
      </c>
      <c r="L35" s="81">
        <v>2493.693</v>
      </c>
      <c r="M35" s="91">
        <v>20731.7273</v>
      </c>
      <c r="N35" s="81">
        <v>3743.8383</v>
      </c>
      <c r="O35" s="91">
        <v>16987.889</v>
      </c>
      <c r="Q35" s="81">
        <v>12864.9167</v>
      </c>
    </row>
    <row r="36" spans="1:17" ht="12.75">
      <c r="A36" s="81" t="s">
        <v>14</v>
      </c>
      <c r="B36" s="81">
        <v>122.879499999991</v>
      </c>
      <c r="C36" s="81">
        <v>47.6294</v>
      </c>
      <c r="D36" s="81">
        <v>72.9963</v>
      </c>
      <c r="E36" s="81">
        <v>-424.312000000021</v>
      </c>
      <c r="F36" s="91">
        <v>-180.806700000038</v>
      </c>
      <c r="G36" s="81">
        <v>685.406</v>
      </c>
      <c r="H36" s="81">
        <v>91.3905</v>
      </c>
      <c r="I36" s="91">
        <v>-957.603200000038</v>
      </c>
      <c r="J36" s="81">
        <v>0</v>
      </c>
      <c r="K36" s="91">
        <v>-957.603100000021</v>
      </c>
      <c r="L36" s="81">
        <v>158.6572</v>
      </c>
      <c r="M36" s="91">
        <v>-798.945999999996</v>
      </c>
      <c r="N36" s="81">
        <v>3.8819</v>
      </c>
      <c r="O36" s="91">
        <v>-802.827900000033</v>
      </c>
      <c r="Q36" s="81">
        <v>38.3336</v>
      </c>
    </row>
    <row r="37" spans="1:17" ht="12.75">
      <c r="A37" s="81" t="s">
        <v>13</v>
      </c>
      <c r="B37" s="81">
        <v>1173.2019</v>
      </c>
      <c r="C37" s="81">
        <v>73.7969</v>
      </c>
      <c r="D37" s="81">
        <v>327.6785</v>
      </c>
      <c r="E37" s="81">
        <v>-697.641300000029</v>
      </c>
      <c r="F37" s="91">
        <v>877.035999999972</v>
      </c>
      <c r="G37" s="81">
        <v>1601.7815</v>
      </c>
      <c r="H37" s="81">
        <v>33.474</v>
      </c>
      <c r="I37" s="91">
        <v>-758.219500000028</v>
      </c>
      <c r="J37" s="81">
        <v>0</v>
      </c>
      <c r="K37" s="91">
        <v>-758.219300000036</v>
      </c>
      <c r="L37" s="81">
        <v>119.2527</v>
      </c>
      <c r="M37" s="91">
        <v>-638.966600000043</v>
      </c>
      <c r="N37" s="81">
        <v>-6.49989999999525</v>
      </c>
      <c r="O37" s="91">
        <v>-632.466600000043</v>
      </c>
      <c r="Q37" s="81">
        <v>0</v>
      </c>
    </row>
    <row r="38" spans="1:17" ht="12.75">
      <c r="A38" s="81" t="s">
        <v>35</v>
      </c>
      <c r="B38" s="81">
        <v>1303.9075</v>
      </c>
      <c r="C38" s="81">
        <v>140.4809</v>
      </c>
      <c r="D38" s="81">
        <v>0</v>
      </c>
      <c r="E38" s="81">
        <v>-477.48960000003</v>
      </c>
      <c r="F38" s="91">
        <v>966.89879999997</v>
      </c>
      <c r="G38" s="81">
        <v>1214.0534</v>
      </c>
      <c r="H38" s="81">
        <v>-42.2060000000056</v>
      </c>
      <c r="I38" s="91">
        <v>-204.948600000024</v>
      </c>
      <c r="J38" s="81">
        <v>0</v>
      </c>
      <c r="K38" s="91">
        <v>-204.948500000001</v>
      </c>
      <c r="L38" s="81">
        <v>13.7305</v>
      </c>
      <c r="M38" s="91">
        <v>-191.218099999998</v>
      </c>
      <c r="N38" s="81">
        <v>0</v>
      </c>
      <c r="O38" s="91">
        <v>-191.218099999998</v>
      </c>
      <c r="Q38" s="81">
        <v>0</v>
      </c>
    </row>
    <row r="39" spans="1:17" ht="12.75">
      <c r="A39" s="82" t="s">
        <v>33</v>
      </c>
      <c r="B39" s="82">
        <v>42537.2916</v>
      </c>
      <c r="C39" s="82">
        <v>84.8341</v>
      </c>
      <c r="D39" s="82">
        <v>0</v>
      </c>
      <c r="E39" s="82">
        <v>-11794.5016</v>
      </c>
      <c r="F39" s="92">
        <v>30827.6240999999</v>
      </c>
      <c r="G39" s="82">
        <v>5990.4006</v>
      </c>
      <c r="H39" s="82">
        <v>-38.2905000000028</v>
      </c>
      <c r="I39" s="92">
        <v>24875.5139999999</v>
      </c>
      <c r="J39" s="82">
        <v>0</v>
      </c>
      <c r="K39" s="92">
        <v>24875.5141</v>
      </c>
      <c r="L39" s="82">
        <v>168.0859</v>
      </c>
      <c r="M39" s="92">
        <v>25043.6</v>
      </c>
      <c r="N39" s="82">
        <v>4583.9892</v>
      </c>
      <c r="O39" s="92">
        <v>20459.6108</v>
      </c>
      <c r="Q39" s="82">
        <v>0</v>
      </c>
    </row>
    <row r="41" spans="1:17" ht="12.75">
      <c r="A41" s="77" t="s">
        <v>15</v>
      </c>
      <c r="B41" s="78">
        <v>2052883.0856</v>
      </c>
      <c r="C41" s="78">
        <v>501844.4519</v>
      </c>
      <c r="D41" s="78">
        <v>168983.9588</v>
      </c>
      <c r="E41" s="78">
        <v>-91142.1065</v>
      </c>
      <c r="F41" s="94">
        <v>2632569.3898</v>
      </c>
      <c r="G41" s="78">
        <v>1378439.4836</v>
      </c>
      <c r="H41" s="78">
        <v>401767.2688</v>
      </c>
      <c r="I41" s="94">
        <v>852362.637400001</v>
      </c>
      <c r="J41" s="78">
        <v>122444.2594</v>
      </c>
      <c r="K41" s="94">
        <v>974806.896799999</v>
      </c>
      <c r="L41" s="78">
        <v>-36492.859</v>
      </c>
      <c r="M41" s="94">
        <v>938314.0376</v>
      </c>
      <c r="N41" s="78">
        <v>160415.7834</v>
      </c>
      <c r="O41" s="94">
        <v>777898.2542</v>
      </c>
      <c r="P41" s="45"/>
      <c r="Q41" s="78">
        <v>427745.693</v>
      </c>
    </row>
    <row r="42" spans="1:17" ht="12.75">
      <c r="A42" s="85"/>
      <c r="B42" s="86"/>
      <c r="C42" s="86"/>
      <c r="D42" s="86"/>
      <c r="E42" s="86"/>
      <c r="F42" s="34"/>
      <c r="G42" s="86"/>
      <c r="H42" s="86"/>
      <c r="I42" s="34"/>
      <c r="J42" s="86"/>
      <c r="K42" s="34"/>
      <c r="L42" s="86"/>
      <c r="M42" s="34"/>
      <c r="N42" s="93"/>
      <c r="O42" s="34"/>
      <c r="P42" s="6"/>
      <c r="Q42" s="86"/>
    </row>
    <row r="43" ht="12.75">
      <c r="A43" s="45"/>
    </row>
    <row r="45" ht="12.75">
      <c r="A45" s="3" t="s">
        <v>103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8" r:id="rId2"/>
  <headerFooter alignWithMargins="0"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06" t="s">
        <v>141</v>
      </c>
      <c r="L1" s="110" t="s">
        <v>148</v>
      </c>
    </row>
    <row r="2" spans="1:12" ht="12.75">
      <c r="A2" s="106" t="s">
        <v>142</v>
      </c>
      <c r="L2" s="110"/>
    </row>
    <row r="3" spans="1:12" ht="18">
      <c r="A3" s="185" t="s">
        <v>256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2.75">
      <c r="A4" s="186" t="s">
        <v>92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2.75">
      <c r="A6" s="68"/>
      <c r="B6" s="182" t="s">
        <v>244</v>
      </c>
      <c r="C6" s="183"/>
      <c r="D6" s="183"/>
      <c r="E6" s="183"/>
      <c r="F6" s="184"/>
      <c r="G6" s="182" t="s">
        <v>86</v>
      </c>
      <c r="H6" s="184"/>
      <c r="I6" s="182" t="s">
        <v>90</v>
      </c>
      <c r="J6" s="184"/>
      <c r="K6" s="182" t="s">
        <v>245</v>
      </c>
      <c r="L6" s="184"/>
    </row>
    <row r="7" spans="1:12" ht="12.75">
      <c r="A7" s="71" t="s">
        <v>20</v>
      </c>
      <c r="B7" s="182" t="s">
        <v>0</v>
      </c>
      <c r="C7" s="183"/>
      <c r="D7" s="183"/>
      <c r="E7" s="183"/>
      <c r="F7" s="184"/>
      <c r="G7" s="95" t="s">
        <v>88</v>
      </c>
      <c r="H7" s="96" t="s">
        <v>89</v>
      </c>
      <c r="I7" s="96" t="s">
        <v>107</v>
      </c>
      <c r="J7" s="96" t="s">
        <v>107</v>
      </c>
      <c r="K7" s="71" t="s">
        <v>108</v>
      </c>
      <c r="L7" s="71" t="s">
        <v>109</v>
      </c>
    </row>
    <row r="8" spans="1:12" ht="12.75">
      <c r="A8" s="73"/>
      <c r="B8" s="74" t="s">
        <v>96</v>
      </c>
      <c r="C8" s="73" t="s">
        <v>97</v>
      </c>
      <c r="D8" s="73" t="s">
        <v>95</v>
      </c>
      <c r="E8" s="73" t="s">
        <v>36</v>
      </c>
      <c r="F8" s="73" t="s">
        <v>106</v>
      </c>
      <c r="G8" s="74" t="s">
        <v>87</v>
      </c>
      <c r="H8" s="73" t="s">
        <v>87</v>
      </c>
      <c r="I8" s="73" t="s">
        <v>111</v>
      </c>
      <c r="J8" s="73" t="s">
        <v>110</v>
      </c>
      <c r="K8" s="73"/>
      <c r="L8" s="73"/>
    </row>
    <row r="9" spans="2:10" ht="12.75">
      <c r="B9" s="76"/>
      <c r="C9" s="76"/>
      <c r="D9" s="76"/>
      <c r="E9" s="76"/>
      <c r="F9" s="76"/>
      <c r="G9" s="76"/>
      <c r="H9" s="76"/>
      <c r="I9" s="76"/>
      <c r="J9" s="76"/>
    </row>
    <row r="10" spans="1:12" ht="12.75">
      <c r="A10" s="77" t="s">
        <v>16</v>
      </c>
      <c r="B10" s="97">
        <v>14.4267802144828</v>
      </c>
      <c r="C10" s="97">
        <v>12.5028974673445</v>
      </c>
      <c r="D10" s="97">
        <v>19.2809979934294</v>
      </c>
      <c r="E10" s="97">
        <v>22.1191875452227</v>
      </c>
      <c r="F10" s="97">
        <v>17.4676180307294</v>
      </c>
      <c r="G10" s="97">
        <v>1.59816609893017</v>
      </c>
      <c r="H10" s="97">
        <v>0.946339999075796</v>
      </c>
      <c r="I10" s="97">
        <v>49.507808777978</v>
      </c>
      <c r="J10" s="97">
        <v>2.15983287876247</v>
      </c>
      <c r="K10" s="161">
        <v>23.5835307903452</v>
      </c>
      <c r="L10" s="162">
        <v>20.6643581292836</v>
      </c>
    </row>
    <row r="11" spans="1:12" ht="12.75">
      <c r="A11" s="80" t="s">
        <v>28</v>
      </c>
      <c r="B11" s="98">
        <v>-25.3226821759786</v>
      </c>
      <c r="C11" s="98">
        <v>-25.4101740494648</v>
      </c>
      <c r="D11" s="98">
        <v>-9.51552616371312</v>
      </c>
      <c r="E11" s="98">
        <v>-45.5890964043286</v>
      </c>
      <c r="F11" s="98">
        <v>-8.16326692750812</v>
      </c>
      <c r="G11" s="98">
        <v>1.26295226906951</v>
      </c>
      <c r="H11" s="98">
        <v>2.11863113475511</v>
      </c>
      <c r="I11" s="98">
        <v>86.2610130239775</v>
      </c>
      <c r="J11" s="98">
        <v>2.49903266759303</v>
      </c>
      <c r="K11" s="163">
        <v>1.69575738271567</v>
      </c>
      <c r="L11" s="164">
        <v>1.33371853779563</v>
      </c>
    </row>
    <row r="12" spans="1:12" ht="12.75">
      <c r="A12" s="81" t="s">
        <v>25</v>
      </c>
      <c r="B12" s="99">
        <v>17.7322341904496</v>
      </c>
      <c r="C12" s="99">
        <v>20.3561702305685</v>
      </c>
      <c r="D12" s="99">
        <v>12.7951446965612</v>
      </c>
      <c r="E12" s="99">
        <v>17.4660950538851</v>
      </c>
      <c r="F12" s="99">
        <v>11.2249324057572</v>
      </c>
      <c r="G12" s="99">
        <v>1.35093074318681</v>
      </c>
      <c r="H12" s="99">
        <v>1.13031565030043</v>
      </c>
      <c r="I12" s="99">
        <v>62.2187051674081</v>
      </c>
      <c r="J12" s="99">
        <v>2.17306343972523</v>
      </c>
      <c r="K12" s="165">
        <v>12.8055765664568</v>
      </c>
      <c r="L12" s="166">
        <v>11.3386975615043</v>
      </c>
    </row>
    <row r="13" spans="1:12" ht="12.75">
      <c r="A13" s="81" t="s">
        <v>5</v>
      </c>
      <c r="B13" s="99">
        <v>9.18244715784793</v>
      </c>
      <c r="C13" s="99">
        <v>8.82149408520352</v>
      </c>
      <c r="D13" s="99">
        <v>12.0774053167174</v>
      </c>
      <c r="E13" s="99">
        <v>8.50429084640394</v>
      </c>
      <c r="F13" s="99">
        <v>13.3164369834452</v>
      </c>
      <c r="G13" s="99">
        <v>1.10679730435466</v>
      </c>
      <c r="H13" s="99">
        <v>0.326299761120367</v>
      </c>
      <c r="I13" s="99">
        <v>60.5959413193226</v>
      </c>
      <c r="J13" s="99">
        <v>1.55016264911285</v>
      </c>
      <c r="K13" s="165">
        <v>18.297687302415</v>
      </c>
      <c r="L13" s="166">
        <v>16.3903549096632</v>
      </c>
    </row>
    <row r="14" spans="1:12" ht="12.75">
      <c r="A14" s="81" t="s">
        <v>6</v>
      </c>
      <c r="B14" s="99">
        <v>12.3067788228139</v>
      </c>
      <c r="C14" s="99">
        <v>10.0631503059757</v>
      </c>
      <c r="D14" s="99">
        <v>21.8360753953146</v>
      </c>
      <c r="E14" s="99">
        <v>18.4232711355143</v>
      </c>
      <c r="F14" s="99">
        <v>27.3620178791075</v>
      </c>
      <c r="G14" s="99">
        <v>1.55640722202344</v>
      </c>
      <c r="H14" s="99">
        <v>0.877534310972811</v>
      </c>
      <c r="I14" s="99">
        <v>41.2113148283053</v>
      </c>
      <c r="J14" s="99">
        <v>1.60660740626956</v>
      </c>
      <c r="K14" s="165">
        <v>17.4246944054087</v>
      </c>
      <c r="L14" s="166">
        <v>14.8306190093439</v>
      </c>
    </row>
    <row r="15" spans="1:12" ht="12.75">
      <c r="A15" s="81" t="s">
        <v>7</v>
      </c>
      <c r="B15" s="99">
        <v>16.9297027309748</v>
      </c>
      <c r="C15" s="99">
        <v>17.1259855064851</v>
      </c>
      <c r="D15" s="99">
        <v>16.4112811991771</v>
      </c>
      <c r="E15" s="99">
        <v>20.2673225842769</v>
      </c>
      <c r="F15" s="99">
        <v>14.0487710123125</v>
      </c>
      <c r="G15" s="99">
        <v>1.70433929287437</v>
      </c>
      <c r="H15" s="99">
        <v>0.880798042187436</v>
      </c>
      <c r="I15" s="99">
        <v>47.7963734538954</v>
      </c>
      <c r="J15" s="99">
        <v>2.23558508789129</v>
      </c>
      <c r="K15" s="165">
        <v>33.2392162843787</v>
      </c>
      <c r="L15" s="166">
        <v>30.4052784170622</v>
      </c>
    </row>
    <row r="16" spans="1:12" ht="12.75">
      <c r="A16" s="81" t="s">
        <v>243</v>
      </c>
      <c r="B16" s="100">
        <v>21.3170563127931</v>
      </c>
      <c r="C16" s="100">
        <v>17.5843114688648</v>
      </c>
      <c r="D16" s="100">
        <v>32.5969305131796</v>
      </c>
      <c r="E16" s="100">
        <v>66.753174430318</v>
      </c>
      <c r="F16" s="100">
        <v>15.4413634797252</v>
      </c>
      <c r="G16" s="99">
        <v>1.53795467221605</v>
      </c>
      <c r="H16" s="99">
        <v>0.716685258290528</v>
      </c>
      <c r="I16" s="99">
        <v>50.462840057424</v>
      </c>
      <c r="J16" s="99">
        <v>2.02923170370552</v>
      </c>
      <c r="K16" s="165">
        <v>30.3795087430423</v>
      </c>
      <c r="L16" s="166">
        <v>26.7426410699195</v>
      </c>
    </row>
    <row r="17" spans="1:12" ht="12.75">
      <c r="A17" s="81" t="s">
        <v>8</v>
      </c>
      <c r="B17" s="99">
        <v>15.4268449531393</v>
      </c>
      <c r="C17" s="99">
        <v>15.4731193209129</v>
      </c>
      <c r="D17" s="99">
        <v>15.2356364631725</v>
      </c>
      <c r="E17" s="99">
        <v>22.7577233667358</v>
      </c>
      <c r="F17" s="99">
        <v>14.1595434631097</v>
      </c>
      <c r="G17" s="99">
        <v>2.60684925236611</v>
      </c>
      <c r="H17" s="99">
        <v>1.2881028587469</v>
      </c>
      <c r="I17" s="99">
        <v>51.3786880563464</v>
      </c>
      <c r="J17" s="99">
        <v>2.42772586096182</v>
      </c>
      <c r="K17" s="165">
        <v>16.16667417041</v>
      </c>
      <c r="L17" s="166">
        <v>14.2999170312415</v>
      </c>
    </row>
    <row r="18" spans="1:12" ht="12.75">
      <c r="A18" s="81" t="s">
        <v>31</v>
      </c>
      <c r="B18" s="99">
        <v>184.119819900917</v>
      </c>
      <c r="C18" s="99">
        <v>184.119819900917</v>
      </c>
      <c r="D18" s="100" t="s">
        <v>257</v>
      </c>
      <c r="E18" s="100" t="s">
        <v>257</v>
      </c>
      <c r="F18" s="100" t="s">
        <v>257</v>
      </c>
      <c r="G18" s="99">
        <v>0.670362911421393</v>
      </c>
      <c r="H18" s="99">
        <v>0</v>
      </c>
      <c r="I18" s="99">
        <v>31.7239530129164</v>
      </c>
      <c r="J18" s="99">
        <v>1.47204337358168</v>
      </c>
      <c r="K18" s="165">
        <v>13.2001285091393</v>
      </c>
      <c r="L18" s="166">
        <v>11.1219204796416</v>
      </c>
    </row>
    <row r="19" spans="1:12" ht="12.75">
      <c r="A19" s="81" t="s">
        <v>11</v>
      </c>
      <c r="B19" s="99">
        <v>23.9199114570113</v>
      </c>
      <c r="C19" s="99">
        <v>-13.9498575945226</v>
      </c>
      <c r="D19" s="99">
        <v>25.2090464181366</v>
      </c>
      <c r="E19" s="99">
        <v>27.154672781731</v>
      </c>
      <c r="F19" s="99">
        <v>16.9559104672285</v>
      </c>
      <c r="G19" s="99">
        <v>3.15278001122463</v>
      </c>
      <c r="H19" s="99">
        <v>0.269429400070774</v>
      </c>
      <c r="I19" s="99">
        <v>42.5234678514158</v>
      </c>
      <c r="J19" s="99">
        <v>4.96141414298548</v>
      </c>
      <c r="K19" s="165">
        <v>35.1561633881459</v>
      </c>
      <c r="L19" s="166">
        <v>29.2152113298502</v>
      </c>
    </row>
    <row r="20" spans="1:12" ht="12.75">
      <c r="A20" s="81" t="s">
        <v>24</v>
      </c>
      <c r="B20" s="99">
        <v>37.2420695784881</v>
      </c>
      <c r="C20" s="99">
        <v>37.2420697212322</v>
      </c>
      <c r="D20" s="100" t="s">
        <v>257</v>
      </c>
      <c r="E20" s="100" t="s">
        <v>257</v>
      </c>
      <c r="F20" s="100" t="s">
        <v>257</v>
      </c>
      <c r="G20" s="99">
        <v>2.38310163422687</v>
      </c>
      <c r="H20" s="99">
        <v>0.977825052630111</v>
      </c>
      <c r="I20" s="99">
        <v>80.3718416320976</v>
      </c>
      <c r="J20" s="99">
        <v>4.91692275558937</v>
      </c>
      <c r="K20" s="165">
        <v>3.34274637255978</v>
      </c>
      <c r="L20" s="166">
        <v>3.43551311569448</v>
      </c>
    </row>
    <row r="21" spans="1:12" ht="12.75">
      <c r="A21" s="81" t="s">
        <v>29</v>
      </c>
      <c r="B21" s="99">
        <v>10.4399085009945</v>
      </c>
      <c r="C21" s="99">
        <v>10.4459487678827</v>
      </c>
      <c r="D21" s="99">
        <v>0.134304926951256</v>
      </c>
      <c r="E21" s="99">
        <v>0.134304926951256</v>
      </c>
      <c r="F21" s="100" t="s">
        <v>257</v>
      </c>
      <c r="G21" s="99">
        <v>0.791858759325994</v>
      </c>
      <c r="H21" s="99">
        <v>0.0149059551079037</v>
      </c>
      <c r="I21" s="99">
        <v>758.68703692823</v>
      </c>
      <c r="J21" s="99">
        <v>1.94415413685972</v>
      </c>
      <c r="K21" s="165">
        <v>-6.03155191754426</v>
      </c>
      <c r="L21" s="166">
        <v>-4.96993991105384</v>
      </c>
    </row>
    <row r="22" spans="1:12" ht="12.75">
      <c r="A22" s="81" t="s">
        <v>9</v>
      </c>
      <c r="B22" s="99">
        <v>-2.70602941143374</v>
      </c>
      <c r="C22" s="99">
        <v>-2.53578102781071</v>
      </c>
      <c r="D22" s="99">
        <v>-20.9001809940378</v>
      </c>
      <c r="E22" s="99">
        <v>-8.85914016933052</v>
      </c>
      <c r="F22" s="99">
        <v>-24.9907607225405</v>
      </c>
      <c r="G22" s="99">
        <v>2.2086850869981</v>
      </c>
      <c r="H22" s="99">
        <v>1.9764808776343</v>
      </c>
      <c r="I22" s="99">
        <v>71.4848293723933</v>
      </c>
      <c r="J22" s="99">
        <v>4.08047178611818</v>
      </c>
      <c r="K22" s="165">
        <v>13.1822222540026</v>
      </c>
      <c r="L22" s="166">
        <v>12.9546856477844</v>
      </c>
    </row>
    <row r="23" spans="1:12" ht="12.75">
      <c r="A23" s="81" t="s">
        <v>26</v>
      </c>
      <c r="B23" s="99">
        <v>40.2392786372063</v>
      </c>
      <c r="C23" s="99">
        <v>40.2392803394017</v>
      </c>
      <c r="D23" s="100" t="s">
        <v>257</v>
      </c>
      <c r="E23" s="100" t="s">
        <v>257</v>
      </c>
      <c r="F23" s="100" t="s">
        <v>257</v>
      </c>
      <c r="G23" s="99">
        <v>1.57683184059172</v>
      </c>
      <c r="H23" s="99">
        <v>1.04154219603702</v>
      </c>
      <c r="I23" s="99">
        <v>102.667449270059</v>
      </c>
      <c r="J23" s="99">
        <v>2.58578955671868</v>
      </c>
      <c r="K23" s="165">
        <v>0.837096832799962</v>
      </c>
      <c r="L23" s="166">
        <v>0.718714052810638</v>
      </c>
    </row>
    <row r="24" spans="1:12" ht="12.75">
      <c r="A24" s="81" t="s">
        <v>250</v>
      </c>
      <c r="B24" s="100">
        <v>36.5762904462721</v>
      </c>
      <c r="C24" s="100">
        <v>32.9431117074965</v>
      </c>
      <c r="D24" s="100">
        <v>36.6493559798227</v>
      </c>
      <c r="E24" s="100">
        <v>35.897773998016</v>
      </c>
      <c r="F24" s="100" t="s">
        <v>257</v>
      </c>
      <c r="G24" s="99">
        <v>3.84712661704538</v>
      </c>
      <c r="H24" s="99">
        <v>0.283060661478246</v>
      </c>
      <c r="I24" s="99">
        <v>53.7790927091948</v>
      </c>
      <c r="J24" s="99">
        <v>8.77624865065957</v>
      </c>
      <c r="K24" s="165">
        <v>30.0598653765918</v>
      </c>
      <c r="L24" s="166">
        <v>24.940074936272</v>
      </c>
    </row>
    <row r="25" spans="1:12" ht="12.75">
      <c r="A25" s="81" t="s">
        <v>30</v>
      </c>
      <c r="B25" s="100">
        <v>-100</v>
      </c>
      <c r="C25" s="100">
        <v>-100</v>
      </c>
      <c r="D25" s="100" t="s">
        <v>257</v>
      </c>
      <c r="E25" s="100" t="s">
        <v>257</v>
      </c>
      <c r="F25" s="100" t="s">
        <v>257</v>
      </c>
      <c r="G25" s="100" t="s">
        <v>257</v>
      </c>
      <c r="H25" s="100" t="s">
        <v>257</v>
      </c>
      <c r="I25" s="99">
        <v>486.198781353046</v>
      </c>
      <c r="J25" s="99">
        <v>9.05529701842301</v>
      </c>
      <c r="K25" s="165">
        <v>-26.650840008485</v>
      </c>
      <c r="L25" s="166">
        <v>-21.2181032264997</v>
      </c>
    </row>
    <row r="26" spans="1:12" ht="12.75">
      <c r="A26" s="81" t="s">
        <v>22</v>
      </c>
      <c r="B26" s="99">
        <v>47.1426681827198</v>
      </c>
      <c r="C26" s="99">
        <v>-13.754379446819</v>
      </c>
      <c r="D26" s="99">
        <v>53.050500439683</v>
      </c>
      <c r="E26" s="99">
        <v>56.594389372516</v>
      </c>
      <c r="F26" s="99">
        <v>30.398885313113</v>
      </c>
      <c r="G26" s="99">
        <v>2.6555811350875</v>
      </c>
      <c r="H26" s="99">
        <v>0.125631962749115</v>
      </c>
      <c r="I26" s="99">
        <v>68.2880339058554</v>
      </c>
      <c r="J26" s="99">
        <v>7.6981369801716</v>
      </c>
      <c r="K26" s="165">
        <v>18.9498380354963</v>
      </c>
      <c r="L26" s="166">
        <v>15.5267447307631</v>
      </c>
    </row>
    <row r="27" spans="1:12" ht="12.75">
      <c r="A27" s="81" t="s">
        <v>10</v>
      </c>
      <c r="B27" s="99">
        <v>13.5834248807201</v>
      </c>
      <c r="C27" s="99">
        <v>8.59510611655754</v>
      </c>
      <c r="D27" s="99">
        <v>23.443782194445</v>
      </c>
      <c r="E27" s="99">
        <v>24.16967749507</v>
      </c>
      <c r="F27" s="99">
        <v>23.0039316258335</v>
      </c>
      <c r="G27" s="99">
        <v>1.42176781676892</v>
      </c>
      <c r="H27" s="99">
        <v>1.04989872293886</v>
      </c>
      <c r="I27" s="99">
        <v>41.652161724035</v>
      </c>
      <c r="J27" s="99">
        <v>2.04531873088021</v>
      </c>
      <c r="K27" s="165">
        <v>33.5263801935621</v>
      </c>
      <c r="L27" s="166">
        <v>28.4649981303804</v>
      </c>
    </row>
    <row r="28" spans="1:12" ht="12.75">
      <c r="A28" s="81" t="s">
        <v>32</v>
      </c>
      <c r="B28" s="99">
        <v>9.86777606193696</v>
      </c>
      <c r="C28" s="99">
        <v>10.6322743727574</v>
      </c>
      <c r="D28" s="99">
        <v>2.27563978704435</v>
      </c>
      <c r="E28" s="99">
        <v>23.5935210601863</v>
      </c>
      <c r="F28" s="99">
        <v>-2.48606951442938</v>
      </c>
      <c r="G28" s="99">
        <v>1.44070887482852</v>
      </c>
      <c r="H28" s="99">
        <v>0.651435727661168</v>
      </c>
      <c r="I28" s="99">
        <v>51.7368609002182</v>
      </c>
      <c r="J28" s="99">
        <v>1.34884993950238</v>
      </c>
      <c r="K28" s="165">
        <v>17.477422341005</v>
      </c>
      <c r="L28" s="166">
        <v>15.3649978372577</v>
      </c>
    </row>
    <row r="29" spans="1:12" ht="12.75">
      <c r="A29" s="82" t="s">
        <v>21</v>
      </c>
      <c r="B29" s="101">
        <v>0.600794446572039</v>
      </c>
      <c r="C29" s="101">
        <v>-9.60003947506449</v>
      </c>
      <c r="D29" s="101">
        <v>19.9078411167029</v>
      </c>
      <c r="E29" s="101">
        <v>15.7425001476668</v>
      </c>
      <c r="F29" s="101">
        <v>21.4699827793264</v>
      </c>
      <c r="G29" s="101">
        <v>1.85886313201942</v>
      </c>
      <c r="H29" s="101">
        <v>1.83396322489325</v>
      </c>
      <c r="I29" s="101">
        <v>80.2183404837568</v>
      </c>
      <c r="J29" s="101">
        <v>2.91075936733931</v>
      </c>
      <c r="K29" s="167">
        <v>4.03606508671656</v>
      </c>
      <c r="L29" s="168">
        <v>4.06700858058714</v>
      </c>
    </row>
    <row r="30" spans="3:12" ht="12.75">
      <c r="C30" s="102"/>
      <c r="D30" s="102"/>
      <c r="E30" s="102"/>
      <c r="F30" s="102"/>
      <c r="G30" s="102"/>
      <c r="H30" s="102"/>
      <c r="I30" s="102"/>
      <c r="J30" s="102"/>
      <c r="K30" s="169"/>
      <c r="L30" s="170"/>
    </row>
    <row r="31" spans="1:12" ht="12.75">
      <c r="A31" s="78" t="s">
        <v>246</v>
      </c>
      <c r="B31" s="97">
        <v>13.9639414373993</v>
      </c>
      <c r="C31" s="97">
        <v>12.7539434332014</v>
      </c>
      <c r="D31" s="97">
        <v>15.1419047318805</v>
      </c>
      <c r="E31" s="97">
        <v>13.991238301813</v>
      </c>
      <c r="F31" s="97">
        <v>15.4467608136707</v>
      </c>
      <c r="G31" s="97">
        <v>1.63629577427564</v>
      </c>
      <c r="H31" s="97">
        <v>0.696765516641347</v>
      </c>
      <c r="I31" s="97">
        <v>58.2380779846392</v>
      </c>
      <c r="J31" s="97">
        <v>1.94462840183402</v>
      </c>
      <c r="K31" s="162">
        <v>22.7732246951056</v>
      </c>
      <c r="L31" s="162">
        <v>9.73858111173405</v>
      </c>
    </row>
    <row r="32" spans="3:12" ht="12.75">
      <c r="C32" s="102"/>
      <c r="D32" s="102"/>
      <c r="E32" s="102"/>
      <c r="F32" s="102"/>
      <c r="G32" s="102"/>
      <c r="H32" s="102"/>
      <c r="I32" s="102"/>
      <c r="J32" s="102"/>
      <c r="K32" s="169"/>
      <c r="L32" s="170"/>
    </row>
    <row r="33" spans="1:12" ht="12.75">
      <c r="A33" s="78" t="s">
        <v>23</v>
      </c>
      <c r="B33" s="97">
        <v>10.2222526938444</v>
      </c>
      <c r="C33" s="97">
        <v>11.9967680058149</v>
      </c>
      <c r="D33" s="97">
        <v>7.35650189992263</v>
      </c>
      <c r="E33" s="97">
        <v>13.658932401217</v>
      </c>
      <c r="F33" s="97">
        <v>-2.28801315553981</v>
      </c>
      <c r="G33" s="97">
        <v>1.75618626194357</v>
      </c>
      <c r="H33" s="97">
        <v>0.802982998383436</v>
      </c>
      <c r="I33" s="97">
        <v>70.9769389767106</v>
      </c>
      <c r="J33" s="97">
        <v>4.49441593401991</v>
      </c>
      <c r="K33" s="162">
        <v>8.90371630794164</v>
      </c>
      <c r="L33" s="162">
        <v>7.31044877937301</v>
      </c>
    </row>
    <row r="34" spans="1:12" ht="12.75">
      <c r="A34" s="81" t="s">
        <v>34</v>
      </c>
      <c r="B34" s="99">
        <v>20.9232122484759</v>
      </c>
      <c r="C34" s="99">
        <v>28.5429021737763</v>
      </c>
      <c r="D34" s="99">
        <v>10.5098813868481</v>
      </c>
      <c r="E34" s="99">
        <v>12.3023753830234</v>
      </c>
      <c r="F34" s="99">
        <v>9.14216957652139</v>
      </c>
      <c r="G34" s="99">
        <v>1.6117596067687</v>
      </c>
      <c r="H34" s="99">
        <v>1.0708496113563</v>
      </c>
      <c r="I34" s="99">
        <v>72.0571112749481</v>
      </c>
      <c r="J34" s="99">
        <v>3.09826352821611</v>
      </c>
      <c r="K34" s="163">
        <v>5.02688975965914</v>
      </c>
      <c r="L34" s="166">
        <v>4.39543953450303</v>
      </c>
    </row>
    <row r="35" spans="1:12" ht="12.75">
      <c r="A35" s="81" t="s">
        <v>12</v>
      </c>
      <c r="B35" s="99">
        <v>-4.37862929731019</v>
      </c>
      <c r="C35" s="99">
        <v>-9.21989258407234</v>
      </c>
      <c r="D35" s="99">
        <v>3.74854176049866</v>
      </c>
      <c r="E35" s="99">
        <v>14.5072778160811</v>
      </c>
      <c r="F35" s="99">
        <v>-39.777428935661</v>
      </c>
      <c r="G35" s="99">
        <v>2.11793729691469</v>
      </c>
      <c r="H35" s="99">
        <v>0.566046545622839</v>
      </c>
      <c r="I35" s="99">
        <v>82.0824068830104</v>
      </c>
      <c r="J35" s="99">
        <v>6.10510101664979</v>
      </c>
      <c r="K35" s="165">
        <v>8.35160941312272</v>
      </c>
      <c r="L35" s="166">
        <v>6.84343429895896</v>
      </c>
    </row>
    <row r="36" spans="1:12" ht="12.75">
      <c r="A36" s="81" t="s">
        <v>14</v>
      </c>
      <c r="B36" s="99">
        <v>0.73176069062848</v>
      </c>
      <c r="C36" s="99">
        <v>0.786228952621926</v>
      </c>
      <c r="D36" s="99">
        <v>-14.4490362210094</v>
      </c>
      <c r="E36" s="99">
        <v>-14.4490362210094</v>
      </c>
      <c r="F36" s="100" t="s">
        <v>257</v>
      </c>
      <c r="G36" s="99">
        <v>0.450647717376485</v>
      </c>
      <c r="H36" s="99">
        <v>0.108847899439817</v>
      </c>
      <c r="I36" s="100">
        <v>-379.082191091289</v>
      </c>
      <c r="J36" s="99">
        <v>3.81541797351521</v>
      </c>
      <c r="K36" s="165">
        <v>-5.52986053815005</v>
      </c>
      <c r="L36" s="166">
        <v>-5.55672889423826</v>
      </c>
    </row>
    <row r="37" spans="1:12" ht="12.75">
      <c r="A37" s="81" t="s">
        <v>13</v>
      </c>
      <c r="B37" s="99">
        <v>26.7864285213545</v>
      </c>
      <c r="C37" s="99">
        <v>26.8350182266466</v>
      </c>
      <c r="D37" s="99">
        <v>-26.7242985354343</v>
      </c>
      <c r="E37" s="99">
        <v>-26.7242985354343</v>
      </c>
      <c r="F37" s="100" t="s">
        <v>257</v>
      </c>
      <c r="G37" s="99">
        <v>0.889468061632465</v>
      </c>
      <c r="H37" s="99">
        <v>0.00478200897705026</v>
      </c>
      <c r="I37" s="99">
        <v>182.635775498389</v>
      </c>
      <c r="J37" s="99">
        <v>4.24696711330272</v>
      </c>
      <c r="K37" s="165">
        <v>-3.1320652534568</v>
      </c>
      <c r="L37" s="166">
        <v>-3.10020376938632</v>
      </c>
    </row>
    <row r="38" spans="1:12" ht="12.75">
      <c r="A38" s="81" t="s">
        <v>35</v>
      </c>
      <c r="B38" s="99">
        <v>46.9271874585907</v>
      </c>
      <c r="C38" s="99">
        <v>46.9271882845884</v>
      </c>
      <c r="D38" s="100" t="s">
        <v>257</v>
      </c>
      <c r="E38" s="100" t="s">
        <v>257</v>
      </c>
      <c r="F38" s="100" t="s">
        <v>257</v>
      </c>
      <c r="G38" s="99">
        <v>0.325069273489012</v>
      </c>
      <c r="H38" s="99">
        <v>0</v>
      </c>
      <c r="I38" s="99">
        <v>125.561578936703</v>
      </c>
      <c r="J38" s="99">
        <v>2.07004778605953</v>
      </c>
      <c r="K38" s="165">
        <v>-1.35791254740419</v>
      </c>
      <c r="L38" s="166">
        <v>-1.35791254740419</v>
      </c>
    </row>
    <row r="39" spans="1:12" ht="12.75">
      <c r="A39" s="82" t="s">
        <v>33</v>
      </c>
      <c r="B39" s="101">
        <v>304.239884989193</v>
      </c>
      <c r="C39" s="101">
        <v>304.239884989193</v>
      </c>
      <c r="D39" s="103" t="s">
        <v>257</v>
      </c>
      <c r="E39" s="103" t="s">
        <v>257</v>
      </c>
      <c r="F39" s="103" t="s">
        <v>257</v>
      </c>
      <c r="G39" s="101">
        <v>0.0741378956584428</v>
      </c>
      <c r="H39" s="101">
        <v>0</v>
      </c>
      <c r="I39" s="101">
        <v>19.4319243694165</v>
      </c>
      <c r="J39" s="101">
        <v>2.42151976850176</v>
      </c>
      <c r="K39" s="167">
        <v>19.3326778413352</v>
      </c>
      <c r="L39" s="168">
        <v>15.7940178071644</v>
      </c>
    </row>
    <row r="40" spans="3:12" ht="12.75">
      <c r="C40" s="102"/>
      <c r="D40" s="102"/>
      <c r="E40" s="102"/>
      <c r="F40" s="102"/>
      <c r="G40" s="102"/>
      <c r="H40" s="102"/>
      <c r="I40" s="102"/>
      <c r="J40" s="102"/>
      <c r="K40" s="169"/>
      <c r="L40" s="170"/>
    </row>
    <row r="41" spans="1:12" ht="12.75">
      <c r="A41" s="77" t="s">
        <v>15</v>
      </c>
      <c r="B41" s="97">
        <v>14.1674578637456</v>
      </c>
      <c r="C41" s="97">
        <v>12.50554262329</v>
      </c>
      <c r="D41" s="97">
        <v>17.7289996573153</v>
      </c>
      <c r="E41" s="97">
        <v>20.3311960990497</v>
      </c>
      <c r="F41" s="97">
        <v>16.2415346656864</v>
      </c>
      <c r="G41" s="97">
        <v>1.61040887696402</v>
      </c>
      <c r="H41" s="97">
        <v>0.906643507477626</v>
      </c>
      <c r="I41" s="97">
        <v>52.3609933679553</v>
      </c>
      <c r="J41" s="97">
        <v>2.24653363432499</v>
      </c>
      <c r="K41" s="162">
        <v>21.5357170866189</v>
      </c>
      <c r="L41" s="162">
        <v>17.8539338146058</v>
      </c>
    </row>
    <row r="42" spans="1:12" ht="12.75">
      <c r="A42" s="85"/>
      <c r="B42" s="86"/>
      <c r="C42" s="104"/>
      <c r="D42" s="104"/>
      <c r="E42" s="104"/>
      <c r="F42" s="104"/>
      <c r="G42" s="104"/>
      <c r="H42" s="104"/>
      <c r="I42" s="104"/>
      <c r="J42" s="104"/>
      <c r="K42" s="169"/>
      <c r="L42" s="171"/>
    </row>
    <row r="43" spans="1:12" ht="12.75">
      <c r="A43" s="3" t="s">
        <v>60</v>
      </c>
      <c r="B43" s="45"/>
      <c r="C43" s="45"/>
      <c r="D43" s="45"/>
      <c r="E43" s="45"/>
      <c r="F43" s="45"/>
      <c r="G43" s="45"/>
      <c r="H43" s="45"/>
      <c r="I43" s="45"/>
      <c r="J43" s="45"/>
      <c r="K43" s="105"/>
      <c r="L43" s="105"/>
    </row>
    <row r="44" ht="12.75">
      <c r="A44" s="3" t="s">
        <v>247</v>
      </c>
    </row>
    <row r="45" ht="12.75">
      <c r="A45" s="3" t="s">
        <v>248</v>
      </c>
    </row>
    <row r="46" ht="12.75">
      <c r="A46" s="3" t="s">
        <v>249</v>
      </c>
    </row>
    <row r="48" ht="12.75">
      <c r="A48" s="3" t="s">
        <v>103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3"/>
  <sheetViews>
    <sheetView workbookViewId="0" topLeftCell="A1">
      <selection activeCell="A1" sqref="A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4" ht="12.75">
      <c r="A1" s="106" t="s">
        <v>141</v>
      </c>
      <c r="D1" s="110" t="s">
        <v>148</v>
      </c>
    </row>
    <row r="2" ht="12.75">
      <c r="A2" s="106" t="s">
        <v>142</v>
      </c>
    </row>
    <row r="3" ht="12.75">
      <c r="A3" s="106"/>
    </row>
    <row r="4" ht="12.75">
      <c r="A4" s="106"/>
    </row>
    <row r="5" ht="12.75">
      <c r="A5" s="106"/>
    </row>
    <row r="6" ht="12.75">
      <c r="A6" s="106"/>
    </row>
    <row r="7" ht="12.75">
      <c r="A7" s="106"/>
    </row>
    <row r="8" ht="15.75">
      <c r="A8" s="107" t="s">
        <v>112</v>
      </c>
    </row>
    <row r="10" spans="1:2" ht="12.75">
      <c r="A10" s="112" t="s">
        <v>152</v>
      </c>
      <c r="B10" s="112" t="s">
        <v>153</v>
      </c>
    </row>
    <row r="11" spans="1:2" ht="15.75">
      <c r="A11" s="111"/>
      <c r="B11" s="111"/>
    </row>
    <row r="12" spans="1:2" ht="12.75">
      <c r="A12" s="189" t="s">
        <v>87</v>
      </c>
      <c r="B12" s="190"/>
    </row>
    <row r="13" spans="1:2" ht="12.75">
      <c r="A13" s="113"/>
      <c r="B13" s="114"/>
    </row>
    <row r="14" spans="1:2" ht="12.75">
      <c r="A14" s="115" t="s">
        <v>87</v>
      </c>
      <c r="B14" s="116" t="s">
        <v>240</v>
      </c>
    </row>
    <row r="16" spans="1:2" ht="12.75">
      <c r="A16" s="189" t="s">
        <v>233</v>
      </c>
      <c r="B16" s="190"/>
    </row>
    <row r="17" spans="1:2" ht="12.75">
      <c r="A17" s="117"/>
      <c r="B17" s="118"/>
    </row>
    <row r="18" spans="1:2" ht="12.75">
      <c r="A18" s="119" t="s">
        <v>154</v>
      </c>
      <c r="B18" s="120">
        <v>1110</v>
      </c>
    </row>
    <row r="19" spans="1:2" ht="12.75">
      <c r="A19" s="119" t="str">
        <f>"+ Ptmos. comerciales (a más de 1 año)"</f>
        <v>+ Ptmos. comerciales (a más de 1 año)</v>
      </c>
      <c r="B19" s="121">
        <v>1205</v>
      </c>
    </row>
    <row r="20" spans="1:2" ht="12.75">
      <c r="A20" s="119" t="str">
        <f>"+ Ptmos. hipot. endosables para fines generales"</f>
        <v>+ Ptmos. hipot. endosables para fines generales</v>
      </c>
      <c r="B20" s="121">
        <v>1248</v>
      </c>
    </row>
    <row r="21" spans="1:2" ht="12.75">
      <c r="A21" s="119" t="str">
        <f>"+ Ptmos. fines generales en letras de crédito"</f>
        <v>+ Ptmos. fines generales en letras de crédito</v>
      </c>
      <c r="B21" s="121">
        <v>1305</v>
      </c>
    </row>
    <row r="22" spans="1:2" ht="12.75">
      <c r="A22" s="119" t="str">
        <f>"+ Deudores por boletas de garantía y consig. judic. (hasta 1 año)"</f>
        <v>+ Deudores por boletas de garantía y consig. judic. (hasta 1 año)</v>
      </c>
      <c r="B22" s="121">
        <v>1605</v>
      </c>
    </row>
    <row r="23" spans="1:2" ht="12.75">
      <c r="A23" s="119" t="str">
        <f>"+ Deudores por avales y fianzas (hasta 1 año)"</f>
        <v>+ Deudores por avales y fianzas (hasta 1 año)</v>
      </c>
      <c r="B23" s="121">
        <v>1610</v>
      </c>
    </row>
    <row r="24" spans="1:2" ht="12.75">
      <c r="A24" s="119" t="str">
        <f>"+ Deudores por boletas de garantía y consig. judic. (a más de 1 año)"</f>
        <v>+ Deudores por boletas de garantía y consig. judic. (a más de 1 año)</v>
      </c>
      <c r="B24" s="121">
        <v>1655</v>
      </c>
    </row>
    <row r="25" spans="1:2" ht="12.75">
      <c r="A25" s="119" t="str">
        <f>"+ Deudores por avales y fianzas (a más de 1 año)"</f>
        <v>+ Deudores por avales y fianzas (a más de 1 año)</v>
      </c>
      <c r="B25" s="121">
        <v>1660</v>
      </c>
    </row>
    <row r="26" spans="1:2" ht="12.75">
      <c r="A26" s="119" t="str">
        <f>"+ Créditos comerciales vencidos"</f>
        <v>+ Créditos comerciales vencidos</v>
      </c>
      <c r="B26" s="121">
        <v>1401</v>
      </c>
    </row>
    <row r="27" spans="1:2" ht="12.75">
      <c r="A27" s="119" t="str">
        <f>"+ Operaciones de factoraje"</f>
        <v>+ Operaciones de factoraje</v>
      </c>
      <c r="B27" s="121">
        <v>1135</v>
      </c>
    </row>
    <row r="28" spans="1:2" ht="12.75">
      <c r="A28" s="119" t="str">
        <f>"+ Operaciones de factoraje (vencidas)"</f>
        <v>+ Operaciones de factoraje (vencidas)</v>
      </c>
      <c r="B28" s="121">
        <v>1418</v>
      </c>
    </row>
    <row r="29" spans="1:2" ht="12.75">
      <c r="A29" s="119" t="str">
        <f>"+ Contratos de leasing comercial"</f>
        <v>+ Contratos de leasing comercial</v>
      </c>
      <c r="B29" s="121" t="s">
        <v>155</v>
      </c>
    </row>
    <row r="30" spans="1:2" ht="12.75">
      <c r="A30" s="122" t="str">
        <f>"+ Intereses diferidos leasing comercial"</f>
        <v>+ Intereses diferidos leasing comercial</v>
      </c>
      <c r="B30" s="123" t="s">
        <v>156</v>
      </c>
    </row>
    <row r="31" spans="1:2" ht="12.75">
      <c r="A31" s="122" t="str">
        <f>"+ IVA diferido leasing comercial"</f>
        <v>+ IVA diferido leasing comercial</v>
      </c>
      <c r="B31" s="123" t="s">
        <v>157</v>
      </c>
    </row>
    <row r="32" spans="1:2" ht="12.75">
      <c r="A32" s="119" t="str">
        <f>"+ Contratos de leasing comercial vencidos"</f>
        <v>+ Contratos de leasing comercial vencidos</v>
      </c>
      <c r="B32" s="121" t="s">
        <v>158</v>
      </c>
    </row>
    <row r="33" spans="1:2" ht="12.75">
      <c r="A33" s="119" t="str">
        <f>"+ Otros saldos de la partida 1350"</f>
        <v>+ Otros saldos de la partida 1350</v>
      </c>
      <c r="B33" s="124" t="s">
        <v>159</v>
      </c>
    </row>
    <row r="34" spans="1:2" ht="12.75">
      <c r="A34" s="119" t="str">
        <f>"+ Varios deudores"</f>
        <v>+ Varios deudores</v>
      </c>
      <c r="B34" s="121">
        <v>1140</v>
      </c>
    </row>
    <row r="35" spans="1:2" ht="12.75">
      <c r="A35" s="119" t="str">
        <f>"+ Ptmos. productivos reprogramados"</f>
        <v>+ Ptmos. productivos reprogramados</v>
      </c>
      <c r="B35" s="121">
        <v>1235</v>
      </c>
    </row>
    <row r="36" spans="1:2" ht="12.75">
      <c r="A36" s="119" t="s">
        <v>160</v>
      </c>
      <c r="B36" s="121">
        <v>1245</v>
      </c>
    </row>
    <row r="37" spans="1:2" ht="12.75">
      <c r="A37" s="119" t="str">
        <f>"+ Dividendos por cobrar"</f>
        <v>+ Dividendos por cobrar</v>
      </c>
      <c r="B37" s="121">
        <v>1315</v>
      </c>
    </row>
    <row r="38" spans="1:2" ht="12.75">
      <c r="A38" s="119" t="str">
        <f>"+ Créditos importación (hasta 1 año)"</f>
        <v>+ Créditos importación (hasta 1 año)</v>
      </c>
      <c r="B38" s="121">
        <v>1125</v>
      </c>
    </row>
    <row r="39" spans="1:2" ht="12.75">
      <c r="A39" s="119" t="str">
        <f>"+ Créditos exportación (hasta 1 año)"</f>
        <v>+ Créditos exportación (hasta 1 año)</v>
      </c>
      <c r="B39" s="121">
        <v>1130</v>
      </c>
    </row>
    <row r="40" spans="1:2" ht="12.75">
      <c r="A40" s="119" t="str">
        <f>"+ Créditos importación (a más de 1 año)"</f>
        <v>+ Créditos importación (a más de 1 año)</v>
      </c>
      <c r="B40" s="121">
        <v>1220</v>
      </c>
    </row>
    <row r="41" spans="1:2" ht="12.75">
      <c r="A41" s="119" t="str">
        <f>"+ Créditos exportación (a más de 1 año)"</f>
        <v>+ Créditos exportación (a más de 1 año)</v>
      </c>
      <c r="B41" s="121">
        <v>1225</v>
      </c>
    </row>
    <row r="42" spans="1:2" ht="12.75">
      <c r="A42" s="119" t="str">
        <f>"+ Deudores por carta de crédito simples o documentarias"</f>
        <v>+ Deudores por carta de crédito simples o documentarias</v>
      </c>
      <c r="B42" s="121">
        <v>1615</v>
      </c>
    </row>
    <row r="43" spans="1:2" ht="12.75">
      <c r="A43" s="119" t="str">
        <f>"+ Deudores por carta crédito del exterior confirmadas"</f>
        <v>+ Deudores por carta crédito del exterior confirmadas</v>
      </c>
      <c r="B43" s="121">
        <v>1620</v>
      </c>
    </row>
    <row r="44" spans="1:2" ht="12.75">
      <c r="A44" s="119" t="str">
        <f>"+ Ptmos. a instituciones financieras (hasta 1 año)"</f>
        <v>+ Ptmos. a instituciones financieras (hasta 1 año)</v>
      </c>
      <c r="B44" s="121">
        <v>1120</v>
      </c>
    </row>
    <row r="45" spans="1:2" ht="12.75">
      <c r="A45" s="115" t="str">
        <f>"+ Ptmos. a instituciones financieras (a más de 1 año)"</f>
        <v>+ Ptmos. a instituciones financieras (a más de 1 año)</v>
      </c>
      <c r="B45" s="125">
        <v>1215</v>
      </c>
    </row>
    <row r="47" spans="1:2" ht="12.75">
      <c r="A47" s="189" t="s">
        <v>161</v>
      </c>
      <c r="B47" s="190"/>
    </row>
    <row r="48" spans="1:2" ht="12.75">
      <c r="A48" s="118"/>
      <c r="B48" s="118"/>
    </row>
    <row r="49" spans="1:2" ht="12.75">
      <c r="A49" s="122" t="s">
        <v>154</v>
      </c>
      <c r="B49" s="120">
        <v>1110</v>
      </c>
    </row>
    <row r="50" spans="1:2" ht="12.75">
      <c r="A50" s="119" t="str">
        <f>"+ Ptmos. comerciales (a más de 1 año)"</f>
        <v>+ Ptmos. comerciales (a más de 1 año)</v>
      </c>
      <c r="B50" s="121">
        <v>1205</v>
      </c>
    </row>
    <row r="51" spans="1:2" ht="12.75">
      <c r="A51" s="119" t="str">
        <f>"+ Ptmos. hipot. endosables para fines generales"</f>
        <v>+ Ptmos. hipot. endosables para fines generales</v>
      </c>
      <c r="B51" s="121">
        <v>1248</v>
      </c>
    </row>
    <row r="52" spans="1:2" ht="12.75">
      <c r="A52" s="122" t="str">
        <f>"+ Ptmos. fines generales en letras de crédito"</f>
        <v>+ Ptmos. fines generales en letras de crédito</v>
      </c>
      <c r="B52" s="121">
        <v>1305</v>
      </c>
    </row>
    <row r="53" spans="1:2" ht="12.75">
      <c r="A53" s="119" t="str">
        <f>"+ Deudores por boletas de garantía y consig. judic. (hasta 1 año)"</f>
        <v>+ Deudores por boletas de garantía y consig. judic. (hasta 1 año)</v>
      </c>
      <c r="B53" s="121">
        <v>1605</v>
      </c>
    </row>
    <row r="54" spans="1:2" ht="12.75">
      <c r="A54" s="119" t="str">
        <f>"+ Deudores por avales y fianzas (hasta 1 año)"</f>
        <v>+ Deudores por avales y fianzas (hasta 1 año)</v>
      </c>
      <c r="B54" s="121">
        <v>1610</v>
      </c>
    </row>
    <row r="55" spans="1:2" ht="12.75">
      <c r="A55" s="119" t="str">
        <f>"+ Deudores por boletas de garantía y consig. judic. (a más de 1 año)"</f>
        <v>+ Deudores por boletas de garantía y consig. judic. (a más de 1 año)</v>
      </c>
      <c r="B55" s="121">
        <v>1655</v>
      </c>
    </row>
    <row r="56" spans="1:2" ht="12.75">
      <c r="A56" s="119" t="str">
        <f>"+ Deudores por avales y fianzas (a más de 1 año)"</f>
        <v>+ Deudores por avales y fianzas (a más de 1 año)</v>
      </c>
      <c r="B56" s="121">
        <v>1660</v>
      </c>
    </row>
    <row r="57" spans="1:2" ht="12.75">
      <c r="A57" s="122" t="str">
        <f>"+ Créditos comerciales vencidos"</f>
        <v>+ Créditos comerciales vencidos</v>
      </c>
      <c r="B57" s="121">
        <v>1401</v>
      </c>
    </row>
    <row r="58" spans="1:2" ht="12.75">
      <c r="A58" s="122" t="str">
        <f>"+ Operaciones de factoraje"</f>
        <v>+ Operaciones de factoraje</v>
      </c>
      <c r="B58" s="121">
        <v>1135</v>
      </c>
    </row>
    <row r="59" spans="1:2" ht="12.75">
      <c r="A59" s="122" t="str">
        <f>"+ Operaciones de factoraje (vencidas)"</f>
        <v>+ Operaciones de factoraje (vencidas)</v>
      </c>
      <c r="B59" s="121">
        <v>1418</v>
      </c>
    </row>
    <row r="60" spans="1:2" ht="12.75">
      <c r="A60" s="122" t="str">
        <f>"+ Contratos de leasing comercial"</f>
        <v>+ Contratos de leasing comercial</v>
      </c>
      <c r="B60" s="121" t="s">
        <v>155</v>
      </c>
    </row>
    <row r="61" spans="1:2" ht="12.75">
      <c r="A61" s="122" t="str">
        <f>"+ Intereses diferidos leasing comercial"</f>
        <v>+ Intereses diferidos leasing comercial</v>
      </c>
      <c r="B61" s="123" t="s">
        <v>156</v>
      </c>
    </row>
    <row r="62" spans="1:2" ht="12.75">
      <c r="A62" s="122" t="str">
        <f>"+ IVA diferido leasing comercial"</f>
        <v>+ IVA diferido leasing comercial</v>
      </c>
      <c r="B62" s="123" t="s">
        <v>157</v>
      </c>
    </row>
    <row r="63" spans="1:2" ht="12.75">
      <c r="A63" s="122" t="str">
        <f>"+ Contratos de leasing comercial vencidos"</f>
        <v>+ Contratos de leasing comercial vencidos</v>
      </c>
      <c r="B63" s="121" t="s">
        <v>158</v>
      </c>
    </row>
    <row r="64" spans="1:2" ht="12.75">
      <c r="A64" s="122" t="str">
        <f>"+ Otros saldos de la partida 1350"</f>
        <v>+ Otros saldos de la partida 1350</v>
      </c>
      <c r="B64" s="124" t="s">
        <v>159</v>
      </c>
    </row>
    <row r="65" spans="1:2" ht="12.75">
      <c r="A65" s="122" t="str">
        <f>"+ Varios deudores"</f>
        <v>+ Varios deudores</v>
      </c>
      <c r="B65" s="121">
        <v>1140</v>
      </c>
    </row>
    <row r="66" spans="1:2" ht="12.75">
      <c r="A66" s="122" t="str">
        <f>"+ Ptmos. productivos reprogramados"</f>
        <v>+ Ptmos. productivos reprogramados</v>
      </c>
      <c r="B66" s="121">
        <v>1235</v>
      </c>
    </row>
    <row r="67" spans="1:2" ht="12.75">
      <c r="A67" s="122" t="s">
        <v>160</v>
      </c>
      <c r="B67" s="121">
        <v>1245</v>
      </c>
    </row>
    <row r="68" spans="1:2" ht="12.75">
      <c r="A68" s="126" t="str">
        <f>"+ Dividendos por cobrar"</f>
        <v>+ Dividendos por cobrar</v>
      </c>
      <c r="B68" s="125">
        <v>1315</v>
      </c>
    </row>
    <row r="70" spans="1:2" ht="12.75">
      <c r="A70" s="189" t="s">
        <v>162</v>
      </c>
      <c r="B70" s="190"/>
    </row>
    <row r="71" spans="1:2" ht="12.75">
      <c r="A71" s="118"/>
      <c r="B71" s="118"/>
    </row>
    <row r="72" spans="1:2" ht="12.75">
      <c r="A72" s="122" t="s">
        <v>163</v>
      </c>
      <c r="B72" s="124">
        <v>1125</v>
      </c>
    </row>
    <row r="73" spans="1:2" ht="12.75">
      <c r="A73" s="122" t="str">
        <f>"+ Créditos exportación (hasta 1 año)"</f>
        <v>+ Créditos exportación (hasta 1 año)</v>
      </c>
      <c r="B73" s="121">
        <v>1130</v>
      </c>
    </row>
    <row r="74" spans="1:2" ht="12.75">
      <c r="A74" s="122" t="str">
        <f>"+ Créditos importación (a más de 1 año)"</f>
        <v>+ Créditos importación (a más de 1 año)</v>
      </c>
      <c r="B74" s="121">
        <v>1220</v>
      </c>
    </row>
    <row r="75" spans="1:2" ht="12.75">
      <c r="A75" s="122" t="str">
        <f>"+ Créditos exportación (a más de 1 año)"</f>
        <v>+ Créditos exportación (a más de 1 año)</v>
      </c>
      <c r="B75" s="121">
        <v>1225</v>
      </c>
    </row>
    <row r="76" spans="1:2" ht="12.75">
      <c r="A76" s="122" t="str">
        <f>"+ Deudores por carta de crédito simples o documentarias"</f>
        <v>+ Deudores por carta de crédito simples o documentarias</v>
      </c>
      <c r="B76" s="121">
        <v>1615</v>
      </c>
    </row>
    <row r="77" spans="1:2" ht="12.75">
      <c r="A77" s="126" t="str">
        <f>"+ Deudores por carta crédito del exterior confirmadas"</f>
        <v>+ Deudores por carta crédito del exterior confirmadas</v>
      </c>
      <c r="B77" s="125">
        <v>1620</v>
      </c>
    </row>
    <row r="79" spans="1:2" ht="12.75">
      <c r="A79" s="189" t="s">
        <v>164</v>
      </c>
      <c r="B79" s="190"/>
    </row>
    <row r="80" spans="1:2" ht="12.75">
      <c r="A80" s="117"/>
      <c r="B80" s="118"/>
    </row>
    <row r="81" spans="1:2" ht="12.75">
      <c r="A81" s="119" t="s">
        <v>165</v>
      </c>
      <c r="B81" s="120">
        <v>1120</v>
      </c>
    </row>
    <row r="82" spans="1:2" ht="12.75">
      <c r="A82" s="115" t="str">
        <f>"+ Ptmos. a instituciones Financieras (a más de 1 año)"</f>
        <v>+ Ptmos. a instituciones Financieras (a más de 1 año)</v>
      </c>
      <c r="B82" s="125">
        <v>1215</v>
      </c>
    </row>
    <row r="84" spans="1:2" ht="12.75">
      <c r="A84" s="189" t="s">
        <v>166</v>
      </c>
      <c r="B84" s="190"/>
    </row>
    <row r="85" spans="1:2" ht="12.75">
      <c r="A85" s="117"/>
      <c r="B85" s="118"/>
    </row>
    <row r="86" spans="1:2" ht="12.75">
      <c r="A86" s="119" t="s">
        <v>167</v>
      </c>
      <c r="B86" s="124">
        <v>1115</v>
      </c>
    </row>
    <row r="87" spans="1:2" ht="12.75">
      <c r="A87" s="119" t="str">
        <f>"+ Ptmos. de consumo (a más de 1 año)"</f>
        <v>+ Ptmos. de consumo (a más de 1 año)</v>
      </c>
      <c r="B87" s="121">
        <v>1210</v>
      </c>
    </row>
    <row r="88" spans="1:2" ht="12.75">
      <c r="A88" s="119" t="str">
        <f>"+ Créditos de consumo vencidos"</f>
        <v>+ Créditos de consumo vencidos</v>
      </c>
      <c r="B88" s="121">
        <v>1411</v>
      </c>
    </row>
    <row r="89" spans="1:2" ht="12.75">
      <c r="A89" s="119" t="str">
        <f>"+ Contratos de leasing de consumo"</f>
        <v>+ Contratos de leasing de consumo</v>
      </c>
      <c r="B89" s="121" t="s">
        <v>168</v>
      </c>
    </row>
    <row r="90" spans="1:2" ht="12.75">
      <c r="A90" s="122" t="str">
        <f>"+ Intereses diferidos leasing  de consumo"</f>
        <v>+ Intereses diferidos leasing  de consumo</v>
      </c>
      <c r="B90" s="123" t="s">
        <v>169</v>
      </c>
    </row>
    <row r="91" spans="1:2" ht="12.75">
      <c r="A91" s="122" t="str">
        <f>"+ IVA diferido leasing de consumo"</f>
        <v>+ IVA diferido leasing de consumo</v>
      </c>
      <c r="B91" s="123" t="s">
        <v>170</v>
      </c>
    </row>
    <row r="92" spans="1:2" ht="12.75">
      <c r="A92" s="119" t="str">
        <f>"+ Contratos de leasing consumo vencidos"</f>
        <v>+ Contratos de leasing consumo vencidos</v>
      </c>
      <c r="B92" s="121" t="s">
        <v>171</v>
      </c>
    </row>
    <row r="93" spans="1:2" ht="12.75">
      <c r="A93" s="119" t="str">
        <f>"+ Créditos hipotecarios para vivienda"</f>
        <v>+ Créditos hipotecarios para vivienda</v>
      </c>
      <c r="B93" s="121">
        <v>1246</v>
      </c>
    </row>
    <row r="94" spans="1:2" ht="12.75">
      <c r="A94" s="119" t="s">
        <v>172</v>
      </c>
      <c r="B94" s="121">
        <v>1247</v>
      </c>
    </row>
    <row r="95" spans="1:2" ht="12.75">
      <c r="A95" s="119" t="str">
        <f>"+ Ptmos. para vivienda en letras de crédito"</f>
        <v>+ Ptmos. para vivienda en letras de crédito</v>
      </c>
      <c r="B95" s="121">
        <v>1310</v>
      </c>
    </row>
    <row r="96" spans="1:2" ht="12.75">
      <c r="A96" s="119" t="str">
        <f>"+ Créditos hipotecarios para vivienda vencidos"</f>
        <v>+ Créditos hipotecarios para vivienda vencidos</v>
      </c>
      <c r="B96" s="121">
        <v>1416</v>
      </c>
    </row>
    <row r="97" spans="1:2" ht="12.75">
      <c r="A97" s="119" t="str">
        <f>"+ Contratos de leasing de vivienda"</f>
        <v>+ Contratos de leasing de vivienda</v>
      </c>
      <c r="B97" s="121" t="s">
        <v>173</v>
      </c>
    </row>
    <row r="98" spans="1:2" ht="12.75">
      <c r="A98" s="122" t="str">
        <f>"+ Intereses diferidos leasing de vivienda"</f>
        <v>+ Intereses diferidos leasing de vivienda</v>
      </c>
      <c r="B98" s="123" t="s">
        <v>174</v>
      </c>
    </row>
    <row r="99" spans="1:2" ht="12.75">
      <c r="A99" s="122" t="str">
        <f>"+ IVA diferido leasing de vivienda"</f>
        <v>+ IVA diferido leasing de vivienda</v>
      </c>
      <c r="B99" s="123" t="s">
        <v>175</v>
      </c>
    </row>
    <row r="100" spans="1:2" ht="12.75">
      <c r="A100" s="115" t="str">
        <f>"+ Contratos de leasing de vivienda vencidos"</f>
        <v>+ Contratos de leasing de vivienda vencidos</v>
      </c>
      <c r="B100" s="125" t="s">
        <v>176</v>
      </c>
    </row>
    <row r="102" spans="1:2" ht="12.75">
      <c r="A102" s="189" t="s">
        <v>234</v>
      </c>
      <c r="B102" s="190"/>
    </row>
    <row r="103" spans="1:2" ht="12.75">
      <c r="A103" s="118"/>
      <c r="B103" s="118"/>
    </row>
    <row r="104" spans="1:2" ht="12.75">
      <c r="A104" s="122" t="s">
        <v>167</v>
      </c>
      <c r="B104" s="124">
        <v>1115</v>
      </c>
    </row>
    <row r="105" spans="1:2" ht="12.75">
      <c r="A105" s="122" t="str">
        <f>"+ Ptmos. de consumo (a más de 1 año)"</f>
        <v>+ Ptmos. de consumo (a más de 1 año)</v>
      </c>
      <c r="B105" s="121">
        <v>1210</v>
      </c>
    </row>
    <row r="106" spans="1:2" ht="12.75">
      <c r="A106" s="122" t="str">
        <f>"+ Créditos de consumo vencidos"</f>
        <v>+ Créditos de consumo vencidos</v>
      </c>
      <c r="B106" s="121">
        <v>1411</v>
      </c>
    </row>
    <row r="107" spans="1:2" ht="12.75">
      <c r="A107" s="122" t="str">
        <f>"+ Contratos de leasing de consumo"</f>
        <v>+ Contratos de leasing de consumo</v>
      </c>
      <c r="B107" s="121" t="s">
        <v>168</v>
      </c>
    </row>
    <row r="108" spans="1:2" ht="12.75">
      <c r="A108" s="122" t="str">
        <f>"+ Intereses diferidos leasing  de consumo"</f>
        <v>+ Intereses diferidos leasing  de consumo</v>
      </c>
      <c r="B108" s="124" t="s">
        <v>169</v>
      </c>
    </row>
    <row r="109" spans="1:2" ht="12.75">
      <c r="A109" s="122" t="str">
        <f>"+ IVA diferido leasing de consumo"</f>
        <v>+ IVA diferido leasing de consumo</v>
      </c>
      <c r="B109" s="124" t="s">
        <v>170</v>
      </c>
    </row>
    <row r="110" spans="1:2" ht="12.75">
      <c r="A110" s="126" t="str">
        <f>"+ Contratos de leasing consumo vencidos"</f>
        <v>+ Contratos de leasing consumo vencidos</v>
      </c>
      <c r="B110" s="125" t="s">
        <v>171</v>
      </c>
    </row>
    <row r="112" spans="1:2" ht="12.75">
      <c r="A112" s="189" t="s">
        <v>235</v>
      </c>
      <c r="B112" s="190"/>
    </row>
    <row r="113" spans="1:2" ht="12.75">
      <c r="A113" s="117"/>
      <c r="B113" s="118"/>
    </row>
    <row r="114" spans="1:2" ht="12.75">
      <c r="A114" s="119" t="s">
        <v>177</v>
      </c>
      <c r="B114" s="124">
        <v>1246</v>
      </c>
    </row>
    <row r="115" spans="1:2" ht="12.75">
      <c r="A115" s="119" t="s">
        <v>172</v>
      </c>
      <c r="B115" s="121">
        <v>1247</v>
      </c>
    </row>
    <row r="116" spans="1:2" ht="12.75">
      <c r="A116" s="119" t="str">
        <f>"+ Ptmos. para vivienda en letras de crédito"</f>
        <v>+ Ptmos. para vivienda en letras de crédito</v>
      </c>
      <c r="B116" s="121">
        <v>1310</v>
      </c>
    </row>
    <row r="117" spans="1:2" ht="12.75">
      <c r="A117" s="119" t="str">
        <f>"+ Créditos hipotecarios para vivienda vencidos"</f>
        <v>+ Créditos hipotecarios para vivienda vencidos</v>
      </c>
      <c r="B117" s="121">
        <v>1416</v>
      </c>
    </row>
    <row r="118" spans="1:2" ht="12.75">
      <c r="A118" s="119" t="str">
        <f>"+ Contratos de leasing de vivienda"</f>
        <v>+ Contratos de leasing de vivienda</v>
      </c>
      <c r="B118" s="121" t="s">
        <v>173</v>
      </c>
    </row>
    <row r="119" spans="1:2" ht="12.75">
      <c r="A119" s="122" t="str">
        <f>"+ Intereses diferidos leasing de vivienda"</f>
        <v>+ Intereses diferidos leasing de vivienda</v>
      </c>
      <c r="B119" s="123" t="s">
        <v>174</v>
      </c>
    </row>
    <row r="120" spans="1:2" ht="12.75">
      <c r="A120" s="122" t="str">
        <f>"+ IVA diferido leasing de vivienda"</f>
        <v>+ IVA diferido leasing de vivienda</v>
      </c>
      <c r="B120" s="123" t="s">
        <v>175</v>
      </c>
    </row>
    <row r="121" spans="1:2" ht="12.75">
      <c r="A121" s="115" t="str">
        <f>"+ Contratos de leasing de vivienda vencidos"</f>
        <v>+ Contratos de leasing de vivienda vencidos</v>
      </c>
      <c r="B121" s="125" t="s">
        <v>176</v>
      </c>
    </row>
    <row r="122" spans="1:2" ht="12.75">
      <c r="A122" s="33"/>
      <c r="B122" s="127"/>
    </row>
    <row r="123" spans="1:2" ht="12.75">
      <c r="A123" s="189" t="s">
        <v>70</v>
      </c>
      <c r="B123" s="190"/>
    </row>
    <row r="124" spans="1:2" ht="12.75">
      <c r="A124" s="113"/>
      <c r="B124" s="114"/>
    </row>
    <row r="125" spans="1:2" ht="12.75">
      <c r="A125" s="115" t="s">
        <v>70</v>
      </c>
      <c r="B125" s="116" t="s">
        <v>178</v>
      </c>
    </row>
    <row r="126" ht="12.75">
      <c r="A126" s="6"/>
    </row>
    <row r="127" spans="1:2" ht="12.75">
      <c r="A127" s="189" t="s">
        <v>71</v>
      </c>
      <c r="B127" s="190"/>
    </row>
    <row r="128" spans="1:2" ht="12.75">
      <c r="A128" s="113"/>
      <c r="B128" s="114"/>
    </row>
    <row r="129" spans="1:2" ht="12.75">
      <c r="A129" s="119" t="s">
        <v>179</v>
      </c>
      <c r="B129" s="124" t="s">
        <v>180</v>
      </c>
    </row>
    <row r="130" spans="1:2" ht="12.75">
      <c r="A130" s="119" t="str">
        <f>"- Cuentas ajuste control pasivo"</f>
        <v>- Cuentas ajuste control pasivo</v>
      </c>
      <c r="B130" s="124" t="str">
        <f>"- (4505 a 4525)"</f>
        <v>- (4505 a 4525)</v>
      </c>
    </row>
    <row r="131" spans="1:2" ht="12.75">
      <c r="A131" s="119" t="str">
        <f>"- Documentos a cargo de otros bancos (canje)"</f>
        <v>- Documentos a cargo de otros bancos (canje)</v>
      </c>
      <c r="B131" s="124" t="str">
        <f>"- 1015"</f>
        <v>- 1015</v>
      </c>
    </row>
    <row r="132" spans="1:2" ht="12.75">
      <c r="A132" s="115" t="str">
        <f>"- Operaciones a futuro pasivo"</f>
        <v>- Operaciones a futuro pasivo</v>
      </c>
      <c r="B132" s="128">
        <v>4127</v>
      </c>
    </row>
    <row r="133" ht="12.75">
      <c r="A133" s="6"/>
    </row>
    <row r="134" spans="1:2" ht="12.75">
      <c r="A134" s="189" t="s">
        <v>72</v>
      </c>
      <c r="B134" s="190"/>
    </row>
    <row r="135" spans="1:2" ht="12.75">
      <c r="A135" s="117"/>
      <c r="B135" s="118"/>
    </row>
    <row r="136" spans="1:2" ht="12.75">
      <c r="A136" s="119" t="s">
        <v>181</v>
      </c>
      <c r="B136" s="122">
        <v>3005</v>
      </c>
    </row>
    <row r="137" spans="1:2" ht="12.75">
      <c r="A137" s="119" t="str">
        <f>"+ Otros saldos acreedores a la vista"</f>
        <v>+ Otros saldos acreedores a la vista</v>
      </c>
      <c r="B137" s="129">
        <v>3010</v>
      </c>
    </row>
    <row r="138" spans="1:2" ht="12.75">
      <c r="A138" s="119" t="str">
        <f>"+ Cuentas de depósito a la vista"</f>
        <v>+ Cuentas de depósito a la vista</v>
      </c>
      <c r="B138" s="129">
        <v>3015</v>
      </c>
    </row>
    <row r="139" spans="1:2" ht="12.75">
      <c r="A139" s="119" t="str">
        <f>"- Documentos a cargo de otros bancos (canje)"</f>
        <v>- Documentos a cargo de otros bancos (canje)</v>
      </c>
      <c r="B139" s="130">
        <v>1015</v>
      </c>
    </row>
    <row r="140" spans="1:2" ht="12.75">
      <c r="A140" s="119" t="str">
        <f>"+ Depósitos y captaciones a plazo 30 a 89 días"</f>
        <v>+ Depósitos y captaciones a plazo 30 a 89 días</v>
      </c>
      <c r="B140" s="129">
        <v>3020</v>
      </c>
    </row>
    <row r="141" spans="1:2" ht="12.75">
      <c r="A141" s="119" t="str">
        <f>"+ Depósitos y captaciones a plazo 90 días a 1 año"</f>
        <v>+ Depósitos y captaciones a plazo 90 días a 1 año</v>
      </c>
      <c r="B141" s="129">
        <v>3025</v>
      </c>
    </row>
    <row r="142" spans="1:2" ht="12.75">
      <c r="A142" s="119" t="str">
        <f>"+ Otros saldos acreedores a plazo"</f>
        <v>+ Otros saldos acreedores a plazo</v>
      </c>
      <c r="B142" s="129">
        <v>3030</v>
      </c>
    </row>
    <row r="143" spans="1:2" ht="12.75">
      <c r="A143" s="119" t="str">
        <f>"+ Depósitos de ahorro a plazo"</f>
        <v>+ Depósitos de ahorro a plazo</v>
      </c>
      <c r="B143" s="129">
        <v>3035</v>
      </c>
    </row>
    <row r="144" spans="1:2" ht="12.75">
      <c r="A144" s="115" t="str">
        <f>"+ Depósitos y captaciones (a más de 1 año)"</f>
        <v>+ Depósitos y captaciones (a más de 1 año)</v>
      </c>
      <c r="B144" s="131">
        <v>3065</v>
      </c>
    </row>
    <row r="146" spans="1:2" ht="12.75">
      <c r="A146" s="189" t="s">
        <v>236</v>
      </c>
      <c r="B146" s="190"/>
    </row>
    <row r="147" spans="1:2" ht="12.75">
      <c r="A147" s="132"/>
      <c r="B147" s="133"/>
    </row>
    <row r="148" spans="1:2" ht="12.75">
      <c r="A148" s="122" t="s">
        <v>181</v>
      </c>
      <c r="B148" s="122">
        <v>3005</v>
      </c>
    </row>
    <row r="149" spans="1:2" ht="12.75">
      <c r="A149" s="122" t="str">
        <f>"+ Otros saldos acreedores a la vista"</f>
        <v>+ Otros saldos acreedores a la vista</v>
      </c>
      <c r="B149" s="129">
        <v>3010</v>
      </c>
    </row>
    <row r="150" spans="1:2" ht="12.75">
      <c r="A150" s="122" t="str">
        <f>"+ Cuentas de depósito a la vista"</f>
        <v>+ Cuentas de depósito a la vista</v>
      </c>
      <c r="B150" s="129">
        <v>3015</v>
      </c>
    </row>
    <row r="151" spans="1:2" ht="12.75">
      <c r="A151" s="126" t="str">
        <f>"- Documentos a cargo de otros bancos (canje)"</f>
        <v>- Documentos a cargo de otros bancos (canje)</v>
      </c>
      <c r="B151" s="134">
        <v>1015</v>
      </c>
    </row>
    <row r="153" spans="1:2" ht="12.75">
      <c r="A153" s="189" t="s">
        <v>182</v>
      </c>
      <c r="B153" s="190"/>
    </row>
    <row r="154" spans="1:2" ht="12.75">
      <c r="A154" s="135"/>
      <c r="B154" s="118"/>
    </row>
    <row r="155" spans="1:2" ht="12.75">
      <c r="A155" s="119" t="str">
        <f>"   Depósitos y captaciones a plazo 30 a 89 días"</f>
        <v>   Depósitos y captaciones a plazo 30 a 89 días</v>
      </c>
      <c r="B155" s="122">
        <v>3020</v>
      </c>
    </row>
    <row r="156" spans="1:2" ht="12.75">
      <c r="A156" s="119" t="str">
        <f>"+ Depósitos y captaciones a plazo 90 días a 1 año"</f>
        <v>+ Depósitos y captaciones a plazo 90 días a 1 año</v>
      </c>
      <c r="B156" s="129">
        <v>3025</v>
      </c>
    </row>
    <row r="157" spans="1:2" ht="12.75">
      <c r="A157" s="119" t="str">
        <f>"+ Otros saldos acreedores a plazo"</f>
        <v>+ Otros saldos acreedores a plazo</v>
      </c>
      <c r="B157" s="129">
        <v>3030</v>
      </c>
    </row>
    <row r="158" spans="1:2" ht="12.75">
      <c r="A158" s="119" t="str">
        <f>"+ Depósitos de ahorro a plazo"</f>
        <v>+ Depósitos de ahorro a plazo</v>
      </c>
      <c r="B158" s="129">
        <v>3035</v>
      </c>
    </row>
    <row r="159" spans="1:2" ht="12.75">
      <c r="A159" s="115" t="str">
        <f>"+ Depósitos y captaciones (a más de 1 año)"</f>
        <v>+ Depósitos y captaciones (a más de 1 año)</v>
      </c>
      <c r="B159" s="131">
        <v>3065</v>
      </c>
    </row>
    <row r="161" spans="1:2" ht="12.75">
      <c r="A161" s="189" t="s">
        <v>113</v>
      </c>
      <c r="B161" s="190"/>
    </row>
    <row r="162" spans="1:2" ht="12.75">
      <c r="A162" s="117"/>
      <c r="B162" s="118"/>
    </row>
    <row r="163" spans="1:2" ht="12.75">
      <c r="A163" s="119" t="s">
        <v>183</v>
      </c>
      <c r="B163" s="124" t="s">
        <v>184</v>
      </c>
    </row>
    <row r="164" spans="1:2" ht="12.75">
      <c r="A164" s="115" t="str">
        <f>"+ Cartas de crédito simples o documentarias"</f>
        <v>+ Cartas de crédito simples o documentarias</v>
      </c>
      <c r="B164" s="131">
        <v>3615</v>
      </c>
    </row>
    <row r="166" spans="1:2" ht="12.75">
      <c r="A166" s="189" t="s">
        <v>114</v>
      </c>
      <c r="B166" s="190"/>
    </row>
    <row r="167" spans="1:2" ht="12.75">
      <c r="A167" s="118"/>
      <c r="B167" s="118"/>
    </row>
    <row r="168" spans="1:2" ht="12.75">
      <c r="A168" s="122" t="str">
        <f>"Obligaciones con letras  de crédito"</f>
        <v>Obligaciones con letras  de crédito</v>
      </c>
      <c r="B168" s="124" t="s">
        <v>185</v>
      </c>
    </row>
    <row r="169" spans="1:2" ht="12.75">
      <c r="A169" s="122" t="str">
        <f>" + Obligaciones por bonos (ordinarios)"</f>
        <v> + Obligaciones por bonos (ordinarios)</v>
      </c>
      <c r="B169" s="129">
        <v>3075</v>
      </c>
    </row>
    <row r="170" spans="1:2" ht="12.75">
      <c r="A170" s="126" t="s">
        <v>186</v>
      </c>
      <c r="B170" s="131">
        <v>4190</v>
      </c>
    </row>
    <row r="172" spans="1:2" ht="12.75">
      <c r="A172" s="189" t="s">
        <v>187</v>
      </c>
      <c r="B172" s="190"/>
    </row>
    <row r="173" spans="1:2" ht="12.75">
      <c r="A173" s="114"/>
      <c r="B173" s="114"/>
    </row>
    <row r="174" spans="1:2" ht="12.75">
      <c r="A174" s="126" t="str">
        <f>"Obligaciones con letras  de crédito"</f>
        <v>Obligaciones con letras  de crédito</v>
      </c>
      <c r="B174" s="116" t="s">
        <v>185</v>
      </c>
    </row>
    <row r="176" spans="1:2" ht="12.75">
      <c r="A176" s="189" t="s">
        <v>188</v>
      </c>
      <c r="B176" s="190"/>
    </row>
    <row r="177" spans="1:2" ht="12.75">
      <c r="A177" s="118"/>
      <c r="B177" s="118"/>
    </row>
    <row r="178" spans="1:2" ht="12.75">
      <c r="A178" s="126" t="str">
        <f>"Obligaciones por bonos (ordinarios)"</f>
        <v>Obligaciones por bonos (ordinarios)</v>
      </c>
      <c r="B178" s="136">
        <v>3075</v>
      </c>
    </row>
    <row r="180" spans="1:2" ht="12.75">
      <c r="A180" s="189" t="s">
        <v>189</v>
      </c>
      <c r="B180" s="190"/>
    </row>
    <row r="181" spans="1:2" ht="12.75">
      <c r="A181" s="117"/>
      <c r="B181" s="137"/>
    </row>
    <row r="182" spans="1:2" ht="12.75">
      <c r="A182" s="115" t="s">
        <v>189</v>
      </c>
      <c r="B182" s="126">
        <v>4190</v>
      </c>
    </row>
    <row r="184" spans="1:2" ht="12.75">
      <c r="A184" s="189" t="s">
        <v>73</v>
      </c>
      <c r="B184" s="190"/>
    </row>
    <row r="185" spans="1:2" ht="12.75">
      <c r="A185" s="118"/>
      <c r="B185" s="137"/>
    </row>
    <row r="186" spans="1:2" ht="12.75">
      <c r="A186" s="126" t="s">
        <v>73</v>
      </c>
      <c r="B186" s="116" t="s">
        <v>190</v>
      </c>
    </row>
    <row r="188" spans="1:2" ht="12.75">
      <c r="A188" s="189" t="s">
        <v>76</v>
      </c>
      <c r="B188" s="190"/>
    </row>
    <row r="189" spans="1:2" ht="12.75">
      <c r="A189" s="118"/>
      <c r="B189" s="137"/>
    </row>
    <row r="190" spans="1:2" ht="12.75">
      <c r="A190" s="115" t="s">
        <v>76</v>
      </c>
      <c r="B190" s="116" t="s">
        <v>191</v>
      </c>
    </row>
    <row r="192" spans="1:2" ht="12.75">
      <c r="A192" s="189" t="s">
        <v>75</v>
      </c>
      <c r="B192" s="190"/>
    </row>
    <row r="193" spans="1:2" ht="12.75">
      <c r="A193" s="118"/>
      <c r="B193" s="137"/>
    </row>
    <row r="194" spans="1:2" ht="12.75">
      <c r="A194" s="122" t="s">
        <v>192</v>
      </c>
      <c r="B194" s="124">
        <v>1350</v>
      </c>
    </row>
    <row r="195" spans="1:2" ht="12.75">
      <c r="A195" s="126" t="str">
        <f>"+ contratos de leasing vencidos"</f>
        <v>+ contratos de leasing vencidos</v>
      </c>
      <c r="B195" s="131">
        <v>1421</v>
      </c>
    </row>
    <row r="196" spans="1:2" ht="12.75">
      <c r="A196" s="6"/>
      <c r="B196" s="138"/>
    </row>
    <row r="197" spans="1:2" ht="12.75">
      <c r="A197" s="189" t="s">
        <v>93</v>
      </c>
      <c r="B197" s="190"/>
    </row>
    <row r="198" spans="1:2" ht="12.75">
      <c r="A198" s="118"/>
      <c r="B198" s="137"/>
    </row>
    <row r="199" spans="1:2" ht="12.75">
      <c r="A199" s="122" t="s">
        <v>193</v>
      </c>
      <c r="B199" s="121">
        <v>1135</v>
      </c>
    </row>
    <row r="200" spans="1:2" ht="12.75">
      <c r="A200" s="126" t="str">
        <f>"+ Operaciones de factoraje vencidas"</f>
        <v>+ Operaciones de factoraje vencidas</v>
      </c>
      <c r="B200" s="125">
        <v>1418</v>
      </c>
    </row>
    <row r="202" spans="1:2" ht="12.75">
      <c r="A202" s="189" t="s">
        <v>74</v>
      </c>
      <c r="B202" s="190"/>
    </row>
    <row r="203" spans="1:2" ht="12.75">
      <c r="A203" s="118"/>
      <c r="B203" s="118"/>
    </row>
    <row r="204" spans="1:2" ht="12.75">
      <c r="A204" s="122" t="str">
        <f>"   Deudores por boletas de garantía y consig. judic. (hasta 1 año)"</f>
        <v>   Deudores por boletas de garantía y consig. judic. (hasta 1 año)</v>
      </c>
      <c r="B204" s="120">
        <v>1605</v>
      </c>
    </row>
    <row r="205" spans="1:2" ht="12.75">
      <c r="A205" s="122" t="str">
        <f>"+ Deudores por avales y fianzas (hasta 1 año)"</f>
        <v>+ Deudores por avales y fianzas (hasta 1 año)</v>
      </c>
      <c r="B205" s="121">
        <v>1610</v>
      </c>
    </row>
    <row r="206" spans="1:2" ht="12.75">
      <c r="A206" s="122" t="str">
        <f>"+ Deudores por carta crédito simples y documentarias"</f>
        <v>+ Deudores por carta crédito simples y documentarias</v>
      </c>
      <c r="B206" s="121">
        <v>1615</v>
      </c>
    </row>
    <row r="207" spans="1:2" ht="12.75">
      <c r="A207" s="122" t="str">
        <f>"+ Deudores por carta crédito del exterior confirmadas"</f>
        <v>+ Deudores por carta crédito del exterior confirmadas</v>
      </c>
      <c r="B207" s="121">
        <v>1620</v>
      </c>
    </row>
    <row r="208" spans="1:2" ht="12.75">
      <c r="A208" s="122" t="str">
        <f>"+ Deudores por boletas de garantía y consig. judic. (a más de 1 año)"</f>
        <v>+ Deudores por boletas de garantía y consig. judic. (a más de 1 año)</v>
      </c>
      <c r="B208" s="121">
        <v>1655</v>
      </c>
    </row>
    <row r="209" spans="1:2" ht="12.75">
      <c r="A209" s="126" t="str">
        <f>"+ Deudores por avales y fianzas (a más de 1 año)"</f>
        <v>+ Deudores por avales y fianzas (a más de 1 año)</v>
      </c>
      <c r="B209" s="125">
        <v>1660</v>
      </c>
    </row>
    <row r="212" spans="1:2" ht="12.75">
      <c r="A212" s="189" t="s">
        <v>77</v>
      </c>
      <c r="B212" s="190"/>
    </row>
    <row r="213" spans="1:2" ht="12.75">
      <c r="A213" s="117"/>
      <c r="B213" s="118"/>
    </row>
    <row r="214" spans="1:2" ht="12.75">
      <c r="A214" s="115" t="s">
        <v>77</v>
      </c>
      <c r="B214" s="116" t="s">
        <v>241</v>
      </c>
    </row>
    <row r="215" spans="1:2" ht="12.75">
      <c r="A215" s="6"/>
      <c r="B215" s="139"/>
    </row>
    <row r="217" spans="1:2" ht="12.75">
      <c r="A217" s="189" t="s">
        <v>194</v>
      </c>
      <c r="B217" s="190"/>
    </row>
    <row r="218" spans="1:2" ht="12.75">
      <c r="A218" s="117"/>
      <c r="B218" s="118"/>
    </row>
    <row r="219" spans="1:2" ht="12.75">
      <c r="A219" s="119" t="s">
        <v>195</v>
      </c>
      <c r="B219" s="124" t="s">
        <v>196</v>
      </c>
    </row>
    <row r="220" spans="1:2" ht="12.75">
      <c r="A220" s="119" t="str">
        <f>"+ Reajustes percibidos y devengados"</f>
        <v>+ Reajustes percibidos y devengados</v>
      </c>
      <c r="B220" s="124" t="s">
        <v>197</v>
      </c>
    </row>
    <row r="221" spans="1:2" ht="12.75">
      <c r="A221" s="119" t="str">
        <f>"- Intereses pagados y devengados"</f>
        <v>- Intereses pagados y devengados</v>
      </c>
      <c r="B221" s="124" t="s">
        <v>198</v>
      </c>
    </row>
    <row r="222" spans="1:2" ht="12.75">
      <c r="A222" s="119" t="str">
        <f>"- Reajustes pagados y devengados"</f>
        <v>- Reajustes pagados y devengados</v>
      </c>
      <c r="B222" s="124" t="str">
        <f>"- 5305 a 5400"</f>
        <v>- 5305 a 5400</v>
      </c>
    </row>
    <row r="223" spans="1:2" ht="12.75">
      <c r="A223" s="119" t="str">
        <f>"+ Utilidades de cambio"</f>
        <v>+ Utilidades de cambio</v>
      </c>
      <c r="B223" s="124" t="s">
        <v>199</v>
      </c>
    </row>
    <row r="224" spans="1:2" ht="12.75">
      <c r="A224" s="115" t="str">
        <f>"- Pérdidas de cambio"</f>
        <v>- Pérdidas de cambio</v>
      </c>
      <c r="B224" s="116" t="str">
        <f>"- 5705 a 5710"</f>
        <v>- 5705 a 5710</v>
      </c>
    </row>
    <row r="226" spans="1:2" ht="12.75">
      <c r="A226" s="189" t="s">
        <v>80</v>
      </c>
      <c r="B226" s="190"/>
    </row>
    <row r="227" spans="1:2" ht="12.75">
      <c r="A227" s="118"/>
      <c r="B227" s="118"/>
    </row>
    <row r="228" spans="1:2" ht="12.75">
      <c r="A228" s="122" t="str">
        <f>"  Comisiones percibidas y devengadas"</f>
        <v>  Comisiones percibidas y devengadas</v>
      </c>
      <c r="B228" s="124" t="s">
        <v>200</v>
      </c>
    </row>
    <row r="229" spans="1:2" ht="12.75">
      <c r="A229" s="126" t="str">
        <f>"- Comisiones pagadas y devengadas"</f>
        <v>- Comisiones pagadas y devengadas</v>
      </c>
      <c r="B229" s="116" t="str">
        <f>"- 5505 a 5530"</f>
        <v>- 5505 a 5530</v>
      </c>
    </row>
    <row r="231" spans="1:2" ht="12.75">
      <c r="A231" s="189" t="s">
        <v>201</v>
      </c>
      <c r="B231" s="190"/>
    </row>
    <row r="232" spans="1:2" ht="12.75">
      <c r="A232" s="118"/>
      <c r="B232" s="118"/>
    </row>
    <row r="233" spans="1:2" ht="12.75">
      <c r="A233" s="122"/>
      <c r="B233" s="122"/>
    </row>
    <row r="234" spans="1:2" ht="12.75">
      <c r="A234" s="126" t="s">
        <v>202</v>
      </c>
      <c r="B234" s="140" t="s">
        <v>203</v>
      </c>
    </row>
    <row r="236" spans="1:2" ht="12.75">
      <c r="A236" s="189" t="s">
        <v>204</v>
      </c>
      <c r="B236" s="190"/>
    </row>
    <row r="237" spans="1:2" ht="12.75">
      <c r="A237" s="117"/>
      <c r="B237" s="118"/>
    </row>
    <row r="238" spans="1:2" ht="12.75">
      <c r="A238" s="119" t="s">
        <v>205</v>
      </c>
      <c r="B238" s="124" t="s">
        <v>206</v>
      </c>
    </row>
    <row r="239" spans="1:2" ht="12.75">
      <c r="A239" s="119" t="str">
        <f>"- Pérdidas por diferencias de precio"</f>
        <v>- Pérdidas por diferencias de precio</v>
      </c>
      <c r="B239" s="124" t="str">
        <f>"- 5605 a 5650"</f>
        <v>- 5605 a 5650</v>
      </c>
    </row>
    <row r="240" spans="1:2" ht="12.75">
      <c r="A240" s="119" t="str">
        <f>"+ Otros Ingresos de operación"</f>
        <v>+ Otros Ingresos de operación</v>
      </c>
      <c r="B240" s="121">
        <v>7910</v>
      </c>
    </row>
    <row r="241" spans="1:2" ht="12.75">
      <c r="A241" s="119" t="str">
        <f>"- Otros gastos de operación"</f>
        <v>- Otros gastos de operación</v>
      </c>
      <c r="B241" s="124" t="str">
        <f>"- 5900"</f>
        <v>- 5900</v>
      </c>
    </row>
    <row r="242" spans="1:2" ht="12.75">
      <c r="A242" s="119" t="str">
        <f>"+ Corrección Monetaria (ingreso)"</f>
        <v>+ Corrección Monetaria (ingreso)</v>
      </c>
      <c r="B242" s="121">
        <v>8405</v>
      </c>
    </row>
    <row r="243" spans="1:2" ht="12.75">
      <c r="A243" s="115" t="str">
        <f>"- Corrección Monetaria (gasto)"</f>
        <v>- Corrección Monetaria (gasto)</v>
      </c>
      <c r="B243" s="128">
        <v>6405</v>
      </c>
    </row>
    <row r="245" spans="1:2" ht="12.75">
      <c r="A245" s="187" t="s">
        <v>82</v>
      </c>
      <c r="B245" s="188"/>
    </row>
    <row r="246" spans="1:2" ht="12.75">
      <c r="A246" s="117"/>
      <c r="B246" s="153"/>
    </row>
    <row r="247" spans="1:2" ht="12.75">
      <c r="A247" s="119" t="s">
        <v>207</v>
      </c>
      <c r="B247" s="154"/>
    </row>
    <row r="248" spans="1:2" ht="12.75">
      <c r="A248" s="119" t="str">
        <f>"+ Comisiones netas"</f>
        <v>+ Comisiones netas</v>
      </c>
      <c r="B248" s="154"/>
    </row>
    <row r="249" spans="1:2" ht="12.75">
      <c r="A249" s="119" t="str">
        <f>"+ Recuperación de colocaciones  e inversiones castigadas"</f>
        <v>+ Recuperación de colocaciones  e inversiones castigadas</v>
      </c>
      <c r="B249" s="154"/>
    </row>
    <row r="250" spans="1:2" ht="12.75">
      <c r="A250" s="115" t="str">
        <f>"+ Otros ingresos de operación netos"</f>
        <v>+ Otros ingresos de operación netos</v>
      </c>
      <c r="B250" s="155"/>
    </row>
    <row r="251" spans="1:2" ht="12.75">
      <c r="A251" s="6"/>
      <c r="B251" s="6"/>
    </row>
    <row r="252" spans="1:2" ht="12.75">
      <c r="A252" s="189" t="s">
        <v>83</v>
      </c>
      <c r="B252" s="190"/>
    </row>
    <row r="253" spans="1:2" ht="12.75">
      <c r="A253" s="118"/>
      <c r="B253" s="118"/>
    </row>
    <row r="254" spans="1:2" ht="12.75">
      <c r="A254" s="126" t="s">
        <v>83</v>
      </c>
      <c r="B254" s="116" t="s">
        <v>208</v>
      </c>
    </row>
    <row r="255" spans="1:2" ht="12.75">
      <c r="A255" s="6"/>
      <c r="B255" s="6"/>
    </row>
    <row r="256" spans="1:2" ht="12.75">
      <c r="A256" s="189" t="s">
        <v>49</v>
      </c>
      <c r="B256" s="190"/>
    </row>
    <row r="257" spans="1:2" ht="12.75">
      <c r="A257" s="118"/>
      <c r="B257" s="118"/>
    </row>
    <row r="258" spans="1:2" ht="12.75">
      <c r="A258" s="122" t="s">
        <v>209</v>
      </c>
      <c r="B258" s="124" t="s">
        <v>210</v>
      </c>
    </row>
    <row r="259" spans="1:2" ht="12.75">
      <c r="A259" s="126" t="s">
        <v>211</v>
      </c>
      <c r="B259" s="140" t="s">
        <v>212</v>
      </c>
    </row>
    <row r="261" spans="1:2" ht="12.75">
      <c r="A261" s="187" t="s">
        <v>84</v>
      </c>
      <c r="B261" s="188"/>
    </row>
    <row r="262" spans="1:2" ht="12.75">
      <c r="A262" s="117"/>
      <c r="B262" s="153"/>
    </row>
    <row r="263" spans="1:2" ht="12.75">
      <c r="A263" s="119" t="s">
        <v>213</v>
      </c>
      <c r="B263" s="154"/>
    </row>
    <row r="264" spans="1:2" ht="12.75">
      <c r="A264" s="119" t="str">
        <f>"- Gastos de apoyo operacional"</f>
        <v>- Gastos de apoyo operacional</v>
      </c>
      <c r="B264" s="154"/>
    </row>
    <row r="265" spans="1:2" ht="12.75">
      <c r="A265" s="115" t="str">
        <f>"- Gasto en provisiones"</f>
        <v>- Gasto en provisiones</v>
      </c>
      <c r="B265" s="155"/>
    </row>
    <row r="266" spans="1:2" ht="12.75">
      <c r="A266" s="63"/>
      <c r="B266" s="63"/>
    </row>
    <row r="267" spans="1:2" ht="12.75">
      <c r="A267" s="189" t="s">
        <v>237</v>
      </c>
      <c r="B267" s="190"/>
    </row>
    <row r="268" spans="1:2" ht="12.75">
      <c r="A268" s="118"/>
      <c r="B268" s="118"/>
    </row>
    <row r="269" spans="1:2" ht="12.75">
      <c r="A269" s="141" t="s">
        <v>215</v>
      </c>
      <c r="B269" s="142">
        <v>8350</v>
      </c>
    </row>
    <row r="270" spans="1:2" ht="12.75">
      <c r="A270" s="141" t="str">
        <f>"- Pérdidas por inversión en sociedades"</f>
        <v>- Pérdidas por inversión en sociedades</v>
      </c>
      <c r="B270" s="143">
        <v>6350</v>
      </c>
    </row>
    <row r="271" spans="1:2" ht="12.75">
      <c r="A271" s="119" t="str">
        <f>"+ Utilidades de sucursales en el exterior"</f>
        <v>+ Utilidades de sucursales en el exterior</v>
      </c>
      <c r="B271" s="121">
        <v>8320</v>
      </c>
    </row>
    <row r="272" spans="1:2" ht="12.75">
      <c r="A272" s="115" t="str">
        <f>"- Perdidas de sucursales en el exterior"</f>
        <v>- Perdidas de sucursales en el exterior</v>
      </c>
      <c r="B272" s="128">
        <v>6320</v>
      </c>
    </row>
    <row r="273" spans="1:2" ht="12.75">
      <c r="A273" s="63"/>
      <c r="B273" s="63"/>
    </row>
    <row r="274" spans="1:2" ht="12.75">
      <c r="A274" s="187" t="s">
        <v>238</v>
      </c>
      <c r="B274" s="188"/>
    </row>
    <row r="275" spans="1:2" ht="12.75">
      <c r="A275" s="191" t="s">
        <v>216</v>
      </c>
      <c r="B275" s="192"/>
    </row>
    <row r="276" spans="1:2" ht="12.75">
      <c r="A276" s="113"/>
      <c r="B276" s="144"/>
    </row>
    <row r="277" spans="1:2" ht="12.75">
      <c r="A277" s="156" t="s">
        <v>217</v>
      </c>
      <c r="B277" s="157"/>
    </row>
    <row r="278" spans="1:2" ht="12.75">
      <c r="A278" s="158" t="str">
        <f>"+ Utilidades de inversiones en sociedades y de sucurs. en el exterior"</f>
        <v>+ Utilidades de inversiones en sociedades y de sucurs. en el exterior</v>
      </c>
      <c r="B278" s="159"/>
    </row>
    <row r="279" spans="1:2" ht="12.75">
      <c r="A279" s="63"/>
      <c r="B279" s="63"/>
    </row>
    <row r="280" spans="1:2" ht="12.75">
      <c r="A280" s="189" t="s">
        <v>104</v>
      </c>
      <c r="B280" s="190"/>
    </row>
    <row r="281" spans="1:2" ht="12.75">
      <c r="A281" s="117"/>
      <c r="B281" s="118"/>
    </row>
    <row r="282" spans="1:2" ht="12.75">
      <c r="A282" s="119" t="s">
        <v>218</v>
      </c>
      <c r="B282" s="124" t="s">
        <v>219</v>
      </c>
    </row>
    <row r="283" spans="1:2" ht="12.75">
      <c r="A283" s="119" t="s">
        <v>220</v>
      </c>
      <c r="B283" s="121">
        <v>8115</v>
      </c>
    </row>
    <row r="284" spans="1:2" ht="12.75">
      <c r="A284" s="115" t="str">
        <f>"- Gastos no operacionales"</f>
        <v>- Gastos no operacionales</v>
      </c>
      <c r="B284" s="116" t="str">
        <f>"- 6305 a 6315"</f>
        <v>- 6305 a 6315</v>
      </c>
    </row>
    <row r="285" spans="1:2" ht="12.75">
      <c r="A285" s="63"/>
      <c r="B285" s="63"/>
    </row>
    <row r="286" spans="1:2" ht="12.75">
      <c r="A286" s="187" t="s">
        <v>99</v>
      </c>
      <c r="B286" s="188"/>
    </row>
    <row r="287" spans="1:2" ht="12.75">
      <c r="A287" s="117"/>
      <c r="B287" s="153"/>
    </row>
    <row r="288" spans="1:2" ht="12.75">
      <c r="A288" s="156" t="s">
        <v>239</v>
      </c>
      <c r="B288" s="154"/>
    </row>
    <row r="289" spans="1:2" ht="12.75">
      <c r="A289" s="156" t="s">
        <v>221</v>
      </c>
      <c r="B289" s="154"/>
    </row>
    <row r="290" spans="1:2" ht="12.75">
      <c r="A290" s="115" t="str">
        <f>"+ Otros ingresos netos"</f>
        <v>+ Otros ingresos netos</v>
      </c>
      <c r="B290" s="155"/>
    </row>
    <row r="291" spans="1:2" ht="12.75">
      <c r="A291" s="6"/>
      <c r="B291" s="6"/>
    </row>
    <row r="292" spans="1:2" ht="12.75">
      <c r="A292" s="189" t="s">
        <v>94</v>
      </c>
      <c r="B292" s="190"/>
    </row>
    <row r="293" spans="1:2" ht="12.75">
      <c r="A293" s="118"/>
      <c r="B293" s="118"/>
    </row>
    <row r="294" spans="1:2" ht="12.75">
      <c r="A294" s="145" t="s">
        <v>222</v>
      </c>
      <c r="B294" s="126">
        <v>6605</v>
      </c>
    </row>
    <row r="295" ht="12.75">
      <c r="A295" s="6"/>
    </row>
    <row r="296" spans="1:2" ht="12.75">
      <c r="A296" s="187" t="s">
        <v>85</v>
      </c>
      <c r="B296" s="188"/>
    </row>
    <row r="297" spans="1:2" ht="12.75">
      <c r="A297" s="117"/>
      <c r="B297" s="153"/>
    </row>
    <row r="298" spans="1:2" ht="12.75">
      <c r="A298" s="156" t="s">
        <v>223</v>
      </c>
      <c r="B298" s="154"/>
    </row>
    <row r="299" spans="1:2" ht="12.75">
      <c r="A299" s="115" t="str">
        <f>"- Impuestos"</f>
        <v>- Impuestos</v>
      </c>
      <c r="B299" s="155"/>
    </row>
    <row r="300" ht="12.75">
      <c r="A300" s="6"/>
    </row>
    <row r="301" spans="1:2" ht="12.75">
      <c r="A301" s="189" t="s">
        <v>126</v>
      </c>
      <c r="B301" s="190"/>
    </row>
    <row r="302" spans="1:2" ht="12.75">
      <c r="A302" s="113"/>
      <c r="B302" s="114"/>
    </row>
    <row r="303" spans="1:2" ht="12.75">
      <c r="A303" s="146" t="s">
        <v>126</v>
      </c>
      <c r="B303" s="126">
        <v>9602</v>
      </c>
    </row>
  </sheetData>
  <mergeCells count="40">
    <mergeCell ref="A146:B146"/>
    <mergeCell ref="A153:B153"/>
    <mergeCell ref="A161:B161"/>
    <mergeCell ref="A123:B123"/>
    <mergeCell ref="A127:B127"/>
    <mergeCell ref="A134:B134"/>
    <mergeCell ref="A79:B79"/>
    <mergeCell ref="A84:B84"/>
    <mergeCell ref="A102:B102"/>
    <mergeCell ref="A112:B112"/>
    <mergeCell ref="A12:B12"/>
    <mergeCell ref="A16:B16"/>
    <mergeCell ref="A47:B47"/>
    <mergeCell ref="A70:B70"/>
    <mergeCell ref="A166:B166"/>
    <mergeCell ref="A172:B172"/>
    <mergeCell ref="A176:B176"/>
    <mergeCell ref="A180:B180"/>
    <mergeCell ref="A184:B184"/>
    <mergeCell ref="A188:B188"/>
    <mergeCell ref="A192:B192"/>
    <mergeCell ref="A197:B197"/>
    <mergeCell ref="A202:B202"/>
    <mergeCell ref="A212:B212"/>
    <mergeCell ref="A217:B217"/>
    <mergeCell ref="A226:B226"/>
    <mergeCell ref="A231:B231"/>
    <mergeCell ref="A236:B236"/>
    <mergeCell ref="A245:B245"/>
    <mergeCell ref="A252:B252"/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</mergeCells>
  <hyperlinks>
    <hyperlink ref="D1" location="Indice!A1" display="Volver"/>
  </hyperlinks>
  <printOptions/>
  <pageMargins left="0.75" right="0.75" top="1" bottom="1" header="0" footer="0"/>
  <pageSetup horizontalDpi="600" verticalDpi="600" orientation="portrait" scale="57" r:id="rId2"/>
  <rowBreaks count="3" manualBreakCount="3">
    <brk id="82" max="255" man="1"/>
    <brk id="133" max="255" man="1"/>
    <brk id="2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Información financiera Mensual- diciembre 2005</dc:title>
  <dc:subject/>
  <dc:creator>Superintendencia de Bancos e Instituciones Financieras</dc:creator>
  <cp:keywords/>
  <dc:description/>
  <cp:lastModifiedBy>Pc Utility</cp:lastModifiedBy>
  <cp:lastPrinted>2006-02-14T19:52:39Z</cp:lastPrinted>
  <dcterms:created xsi:type="dcterms:W3CDTF">1998-06-19T14:09:35Z</dcterms:created>
  <dcterms:modified xsi:type="dcterms:W3CDTF">2006-02-14T20:17:24Z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-2132648374</vt:i4>
  </property>
  <property fmtid="{D5CDD505-2E9C-101B-9397-08002B2CF9AE}" pid="3" name="_EmailSubject">
    <vt:lpwstr>Información Financiera Mensual - Diciembre  de 2005 v4.xls</vt:lpwstr>
  </property>
  <property fmtid="{D5CDD505-2E9C-101B-9397-08002B2CF9AE}" pid="4" name="_AuthorEmail">
    <vt:lpwstr>rlagos@sbif.cl</vt:lpwstr>
  </property>
  <property fmtid="{D5CDD505-2E9C-101B-9397-08002B2CF9AE}" pid="5" name="_AuthorEmailDisplayName">
    <vt:lpwstr>Ricardo Lagos</vt:lpwstr>
  </property>
  <property fmtid="{D5CDD505-2E9C-101B-9397-08002B2CF9AE}" pid="6" name="_PreviousAdHocReviewCycleID">
    <vt:i4>1771187793</vt:i4>
  </property>
  <property fmtid="{D5CDD505-2E9C-101B-9397-08002B2CF9AE}" pid="7" name="_ReviewingToolsShownOnce">
    <vt:lpwstr/>
  </property>
</Properties>
</file>