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Bancos'!$A$4:$P$46</definedName>
    <definedName name="_xlnm.Print_Area" localSheetId="5">'Definiciones Usadas'!$A$3:$B$304</definedName>
    <definedName name="_xlnm.Print_Area" localSheetId="3">'Estado Resultados Bancos'!$A$3:$Q$45</definedName>
    <definedName name="_xlnm.Print_Area" localSheetId="4">'Indicadores Bancos'!$A$3:$L$48</definedName>
    <definedName name="_xlnm.Print_Area" localSheetId="0">'Indice'!$A$1:$B$23</definedName>
    <definedName name="_xlnm.Print_Area" localSheetId="1">'Información Sistema'!$B$3:$F$74</definedName>
  </definedNames>
  <calcPr fullCalcOnLoad="1"/>
</workbook>
</file>

<file path=xl/sharedStrings.xml><?xml version="1.0" encoding="utf-8"?>
<sst xmlns="http://schemas.openxmlformats.org/spreadsheetml/2006/main" count="437" uniqueCount="258">
  <si>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</si>
  <si>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</si>
  <si>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</si>
  <si>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</si>
  <si>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</si>
  <si>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</si>
  <si>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</si>
  <si>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</si>
  <si>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</si>
  <si>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</si>
  <si>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</si>
  <si>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</si>
  <si>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</si>
  <si>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</si>
  <si>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</si>
  <si>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</si>
  <si>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</si>
  <si>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</si>
  <si>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</si>
  <si>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</si>
  <si>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</si>
  <si>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</si>
  <si>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</si>
  <si>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</si>
  <si>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</si>
  <si>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</si>
  <si>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</si>
  <si>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</si>
  <si>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</si>
  <si>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</si>
  <si>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</si>
  <si>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</si>
  <si>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</si>
  <si>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</si>
  <si>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</si>
  <si>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</si>
  <si>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</si>
  <si>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</si>
  <si>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</si>
  <si>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</si>
  <si>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</si>
  <si>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</si>
  <si>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</si>
  <si>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</si>
  <si>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</si>
  <si>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</si>
  <si>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</si>
  <si>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</si>
  <si>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</si>
  <si>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</si>
  <si>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</si>
  <si>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</si>
  <si>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</si>
  <si>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</si>
  <si>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</si>
  <si>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</si>
  <si>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</si>
  <si>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</si>
  <si>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</si>
  <si>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</si>
  <si>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</si>
  <si>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</si>
  <si>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</si>
  <si>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</si>
  <si>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</si>
  <si>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</si>
  <si>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</si>
  <si>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</si>
  <si>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</si>
  <si>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</si>
  <si>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</si>
  <si>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</si>
  <si>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</si>
  <si>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</si>
  <si>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</si>
  <si>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</si>
  <si>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</si>
  <si>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</si>
  <si>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</si>
  <si>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</si>
  <si>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</si>
  <si>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</si>
  <si>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</si>
  <si>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</si>
  <si>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</si>
  <si>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</si>
  <si>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</si>
  <si>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</si>
  <si>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</si>
  <si>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</si>
  <si>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</si>
  <si>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</si>
  <si>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</si>
  <si>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</si>
  <si>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</si>
  <si>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</si>
  <si>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</si>
  <si>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</si>
  <si>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</si>
  <si>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</si>
  <si>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</si>
  <si>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</si>
  <si>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</si>
  <si>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</si>
  <si>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</si>
  <si>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</si>
  <si>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</si>
  <si>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</si>
  <si>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</si>
  <si>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</si>
  <si>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</si>
  <si>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</si>
  <si>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</si>
  <si>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</si>
  <si>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</si>
  <si>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</si>
  <si>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</si>
  <si>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</si>
  <si>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</si>
  <si>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</si>
  <si>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</si>
  <si>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</si>
  <si>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</si>
  <si>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</si>
  <si>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</si>
  <si>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</si>
  <si>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</si>
  <si>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</si>
  <si>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</si>
  <si>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</si>
  <si>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</si>
  <si>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</si>
  <si>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</si>
  <si>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</si>
  <si>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</si>
  <si>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</si>
  <si>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</si>
  <si>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</si>
  <si>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Del Estado de Chile</t>
  </si>
  <si>
    <t>(3) El deflactor utilizado corresponde a la unidad de fomento (UF).</t>
  </si>
  <si>
    <t>(1) Corresponde a la variación real entre los resultados del mes, respecto de los registrados durante el mes anterior.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</si>
  <si>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</si>
  <si>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</si>
  <si>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</si>
  <si>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</si>
  <si>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</si>
  <si>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</si>
  <si>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</si>
  <si>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</si>
  <si>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</si>
  <si>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</si>
  <si>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</si>
  <si>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</si>
  <si>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</si>
  <si>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</si>
  <si>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</si>
  <si>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</si>
  <si>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</si>
  <si>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</si>
  <si>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</si>
  <si>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</si>
  <si>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</si>
  <si>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</si>
  <si>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</si>
  <si>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</si>
  <si>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</si>
  <si>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</si>
  <si>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</si>
  <si>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</si>
  <si>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</si>
  <si>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</si>
  <si>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</si>
  <si>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</si>
  <si>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</si>
  <si>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</si>
  <si>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</si>
  <si>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</si>
  <si>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</si>
  <si>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</si>
  <si>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</si>
  <si>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</si>
  <si>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</si>
  <si>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</si>
  <si>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</si>
  <si>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</si>
  <si>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</si>
  <si>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</si>
  <si>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</si>
  <si>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</si>
  <si>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</si>
  <si>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</si>
  <si>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</si>
  <si>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</si>
  <si>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</si>
  <si>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</si>
  <si>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</si>
  <si>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</si>
  <si>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</si>
  <si>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</si>
  <si>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</si>
  <si>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</si>
  <si>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</si>
  <si>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</si>
  <si>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</si>
  <si>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</si>
  <si>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</si>
  <si>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</si>
  <si>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</si>
  <si>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</si>
  <si>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</si>
  <si>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</si>
  <si>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</si>
  <si>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</si>
  <si>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</si>
  <si>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</si>
  <si>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</si>
  <si>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</si>
  <si>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</si>
  <si>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</si>
  <si>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</si>
  <si>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</si>
  <si>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</si>
  <si>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</si>
  <si>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</si>
  <si>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</si>
  <si>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</si>
  <si>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</si>
  <si>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</si>
  <si>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</si>
  <si>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</si>
  <si>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</si>
  <si>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</si>
  <si>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</si>
  <si>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</si>
  <si>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</si>
  <si>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</si>
  <si>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</si>
  <si>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</si>
  <si>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</si>
  <si>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</si>
  <si>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</si>
  <si>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</si>
  <si>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dic'2004</t>
  </si>
  <si>
    <t>---</t>
  </si>
  <si>
    <t>De Crédito e Inversiones</t>
  </si>
  <si>
    <t>Actividad (variación en doce meses)  (1)</t>
  </si>
  <si>
    <t>Rentabilidad s/Capital y reservas  (2)</t>
  </si>
  <si>
    <t>Del Estado de Chile   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</si>
  <si>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</si>
  <si>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</si>
  <si>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</si>
  <si>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Paris</t>
  </si>
  <si>
    <t xml:space="preserve">Paris </t>
  </si>
  <si>
    <t>Reporte de Información Financiera Mensual - Septiembre de 2005</t>
  </si>
  <si>
    <t xml:space="preserve"> AL MES DE SEPTIEMBRE DE 2005 </t>
  </si>
  <si>
    <t>PRINCIPALES ACTIVOS Y PASIVOS POR INSTITUCIONES AL MES DE SEPTIEMBRE DE 2005</t>
  </si>
  <si>
    <t>ESTRUCTURA DEL ESTADO DE RESULTADOS POR INSTITUCIONES AL MES DE SEPTIEMBRE DE 2005</t>
  </si>
  <si>
    <t>INDICADORES POR INSTITUCIONES AL MES DE SEPTIEMBRE DE 2005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</si>
</sst>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  <numFmt numFmtId="191" formatCode="0.00000000"/>
  </numFmts>
  <fonts count="2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sz val="9"/>
      <name val="Lucida Sans"/>
      <family val="0"/>
    </font>
    <font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" fontId="21" fillId="0" borderId="7" xfId="0" applyNumberFormat="1" applyFont="1" applyBorder="1" applyAlignment="1">
      <alignment horizontal="center"/>
    </xf>
    <xf numFmtId="4" fontId="22" fillId="0" borderId="7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07" t="s">
        <v>253</v>
      </c>
    </row>
    <row r="9" ht="12.75">
      <c r="B9" s="108" t="s">
        <v>15</v>
      </c>
    </row>
    <row r="11" ht="12.75">
      <c r="B11" s="109" t="s">
        <v>146</v>
      </c>
    </row>
    <row r="13" ht="12.75">
      <c r="B13" s="108" t="s">
        <v>145</v>
      </c>
    </row>
    <row r="15" ht="12.75">
      <c r="B15" s="109" t="s">
        <v>150</v>
      </c>
    </row>
    <row r="17" ht="12.75">
      <c r="B17" s="109" t="s">
        <v>151</v>
      </c>
    </row>
    <row r="19" ht="12.75">
      <c r="B19" s="109" t="s">
        <v>147</v>
      </c>
    </row>
    <row r="21" ht="12.75">
      <c r="B21" s="109" t="s">
        <v>149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3" customWidth="1"/>
    <col min="2" max="2" width="66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06" t="s">
        <v>141</v>
      </c>
      <c r="F1" s="110" t="s">
        <v>148</v>
      </c>
    </row>
    <row r="2" ht="12.75">
      <c r="A2" s="106" t="s">
        <v>142</v>
      </c>
    </row>
    <row r="3" spans="1:6" ht="15.75">
      <c r="A3" s="106"/>
      <c r="B3" s="175" t="s">
        <v>143</v>
      </c>
      <c r="C3" s="175"/>
      <c r="D3" s="175"/>
      <c r="E3" s="175"/>
      <c r="F3" s="175"/>
    </row>
    <row r="4" spans="2:6" ht="15.75">
      <c r="B4" s="175" t="s">
        <v>144</v>
      </c>
      <c r="C4" s="175"/>
      <c r="D4" s="175"/>
      <c r="E4" s="175"/>
      <c r="F4" s="175"/>
    </row>
    <row r="5" spans="2:6" ht="15.75">
      <c r="B5" s="1" t="s">
        <v>254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78" t="s">
        <v>64</v>
      </c>
      <c r="C7" s="179"/>
      <c r="D7" s="179"/>
      <c r="E7" s="179"/>
      <c r="F7" s="180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135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242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42525800.3361</v>
      </c>
      <c r="D12" s="20">
        <v>1.62470816791284</v>
      </c>
      <c r="E12" s="20">
        <v>9.86326738385588</v>
      </c>
      <c r="F12" s="20">
        <v>12.5371839955747</v>
      </c>
    </row>
    <row r="13" spans="2:6" ht="16.5" customHeight="1">
      <c r="B13" s="21" t="s">
        <v>101</v>
      </c>
      <c r="C13" s="22">
        <v>28630062.4408</v>
      </c>
      <c r="D13" s="23">
        <v>1.35432469085978</v>
      </c>
      <c r="E13" s="23">
        <v>8.47815550644376</v>
      </c>
      <c r="F13" s="23">
        <v>9.83597290887499</v>
      </c>
    </row>
    <row r="14" spans="2:6" ht="12.75">
      <c r="B14" s="24" t="s">
        <v>121</v>
      </c>
      <c r="C14" s="25">
        <v>24277541.6271</v>
      </c>
      <c r="D14" s="26">
        <v>1.59772199147326</v>
      </c>
      <c r="E14" s="26">
        <v>8.22860583063841</v>
      </c>
      <c r="F14" s="26">
        <v>11.5620766887619</v>
      </c>
    </row>
    <row r="15" spans="2:6" ht="12.75">
      <c r="B15" s="24" t="s">
        <v>122</v>
      </c>
      <c r="C15" s="25">
        <v>3652808.9022</v>
      </c>
      <c r="D15" s="26">
        <v>-2.47086471970064</v>
      </c>
      <c r="E15" s="26">
        <v>5.3919299950043</v>
      </c>
      <c r="F15" s="26">
        <v>-2.99566481923442</v>
      </c>
    </row>
    <row r="16" spans="2:6" ht="12.75">
      <c r="B16" s="24" t="s">
        <v>123</v>
      </c>
      <c r="C16" s="25">
        <v>699711.9115</v>
      </c>
      <c r="D16" s="26">
        <v>15.3889523678523</v>
      </c>
      <c r="E16" s="26">
        <v>41.4085110302204</v>
      </c>
      <c r="F16" s="26">
        <v>29.7878478421437</v>
      </c>
    </row>
    <row r="17" spans="2:6" ht="12.75">
      <c r="B17" s="21" t="s">
        <v>100</v>
      </c>
      <c r="C17" s="22">
        <v>13895737.8945</v>
      </c>
      <c r="D17" s="23">
        <v>2.18636558415485</v>
      </c>
      <c r="E17" s="23">
        <v>12.8316100026361</v>
      </c>
      <c r="F17" s="23">
        <v>18.5438521492815</v>
      </c>
    </row>
    <row r="18" spans="2:6" ht="12.75">
      <c r="B18" s="24" t="s">
        <v>124</v>
      </c>
      <c r="C18" s="25">
        <v>5100125.2625</v>
      </c>
      <c r="D18" s="26">
        <v>2.01568911175583</v>
      </c>
      <c r="E18" s="26">
        <v>13.8598525585466</v>
      </c>
      <c r="F18" s="26">
        <v>19.6368147478113</v>
      </c>
    </row>
    <row r="19" spans="2:6" ht="12.75">
      <c r="B19" s="24" t="s">
        <v>125</v>
      </c>
      <c r="C19" s="25">
        <v>8795612.632</v>
      </c>
      <c r="D19" s="26">
        <v>2.28559396628909</v>
      </c>
      <c r="E19" s="26">
        <v>12.2438469958584</v>
      </c>
      <c r="F19" s="26">
        <v>17.9191978641774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8779489.7271</v>
      </c>
      <c r="D21" s="23">
        <v>-0.0180794329776589</v>
      </c>
      <c r="E21" s="23">
        <v>-7.88564012351387</v>
      </c>
      <c r="F21" s="23">
        <v>-4.85074130364159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58526744.717</v>
      </c>
      <c r="D23" s="29">
        <v>0.683130778544347</v>
      </c>
      <c r="E23" s="29">
        <v>6.82600996315969</v>
      </c>
      <c r="F23" s="29">
        <v>7.9070931271487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33833449.0932</v>
      </c>
      <c r="D25" s="20">
        <v>0.898118081386701</v>
      </c>
      <c r="E25" s="20">
        <v>10.2368839898261</v>
      </c>
      <c r="F25" s="20">
        <v>15.1269677184208</v>
      </c>
    </row>
    <row r="26" spans="2:6" ht="12.75">
      <c r="B26" s="24" t="s">
        <v>130</v>
      </c>
      <c r="C26" s="25">
        <v>7248994.6592</v>
      </c>
      <c r="D26" s="26">
        <v>0.319391411073965</v>
      </c>
      <c r="E26" s="26">
        <v>-3.85160163410614</v>
      </c>
      <c r="F26" s="26">
        <v>4.54844920355946</v>
      </c>
    </row>
    <row r="27" spans="2:6" ht="12.75">
      <c r="B27" s="24" t="s">
        <v>102</v>
      </c>
      <c r="C27" s="25">
        <v>26584454.434</v>
      </c>
      <c r="D27" s="26">
        <v>1.05708450384197</v>
      </c>
      <c r="E27" s="26">
        <v>14.0884856239323</v>
      </c>
      <c r="F27" s="26">
        <v>18.3934859846344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113</v>
      </c>
      <c r="C29" s="22">
        <v>3244912.3037</v>
      </c>
      <c r="D29" s="23">
        <v>-3.25623473479355</v>
      </c>
      <c r="E29" s="23">
        <v>-0.625597652906005</v>
      </c>
      <c r="F29" s="23">
        <v>2.37703115316619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114</v>
      </c>
      <c r="C31" s="22">
        <v>7734141.2631</v>
      </c>
      <c r="D31" s="23">
        <v>0.973733442184276</v>
      </c>
      <c r="E31" s="23">
        <v>-4.94996143413327</v>
      </c>
      <c r="F31" s="23">
        <v>-4.12103656230111</v>
      </c>
    </row>
    <row r="32" spans="2:6" ht="12.75">
      <c r="B32" s="24" t="s">
        <v>115</v>
      </c>
      <c r="C32" s="25">
        <v>5167845.6029</v>
      </c>
      <c r="D32" s="26">
        <v>0.985691250686662</v>
      </c>
      <c r="E32" s="26">
        <v>-13.2103051168433</v>
      </c>
      <c r="F32" s="26">
        <v>-18.8761978416051</v>
      </c>
    </row>
    <row r="33" spans="2:6" ht="15" customHeight="1">
      <c r="B33" s="24" t="s">
        <v>116</v>
      </c>
      <c r="C33" s="25">
        <v>1072014.3508</v>
      </c>
      <c r="D33" s="26">
        <v>1.16163421502401</v>
      </c>
      <c r="E33" s="26">
        <v>34.1153539978168</v>
      </c>
      <c r="F33" s="26">
        <v>126.232249339972</v>
      </c>
    </row>
    <row r="34" spans="2:6" ht="12.75">
      <c r="B34" s="24" t="s">
        <v>117</v>
      </c>
      <c r="C34" s="25">
        <v>1494281.3094</v>
      </c>
      <c r="D34" s="26">
        <v>0.798137408493087</v>
      </c>
      <c r="E34" s="26">
        <v>8.03490916393095</v>
      </c>
      <c r="F34" s="26">
        <v>22.2423974702742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4345285.8906</v>
      </c>
      <c r="D36" s="29">
        <v>-0.158128620836026</v>
      </c>
      <c r="E36" s="29">
        <v>6.95019774217361</v>
      </c>
      <c r="F36" s="29">
        <v>7.87627387951093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85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430257.5373</v>
      </c>
      <c r="D39" s="38">
        <v>-1.58175202005651</v>
      </c>
      <c r="E39" s="38">
        <v>-7.56331379920019</v>
      </c>
      <c r="F39" s="38">
        <v>-17.9808592614153</v>
      </c>
    </row>
    <row r="40" spans="2:6" ht="12.75">
      <c r="B40" s="24" t="s">
        <v>75</v>
      </c>
      <c r="C40" s="25">
        <v>1966950.7822</v>
      </c>
      <c r="D40" s="26">
        <v>2.05500787837903</v>
      </c>
      <c r="E40" s="26">
        <v>17.9906570077609</v>
      </c>
      <c r="F40" s="26">
        <v>23.2910548731898</v>
      </c>
    </row>
    <row r="41" spans="2:6" ht="12.75">
      <c r="B41" s="24" t="s">
        <v>93</v>
      </c>
      <c r="C41" s="25">
        <v>386974.7713</v>
      </c>
      <c r="D41" s="26">
        <v>14.7820210942891</v>
      </c>
      <c r="E41" s="26">
        <v>40.4630011302108</v>
      </c>
      <c r="F41" s="26">
        <v>101.853717087248</v>
      </c>
    </row>
    <row r="42" spans="2:6" ht="12.75">
      <c r="B42" s="39" t="s">
        <v>74</v>
      </c>
      <c r="C42" s="40">
        <v>3175635.8402</v>
      </c>
      <c r="D42" s="41">
        <v>-0.205245033678314</v>
      </c>
      <c r="E42" s="41">
        <v>11.5611251618553</v>
      </c>
      <c r="F42" s="41">
        <v>9.46815046239589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39350164.4959</v>
      </c>
      <c r="D44" s="44">
        <v>1.77531992878173</v>
      </c>
      <c r="E44" s="44">
        <v>9.72849776539021</v>
      </c>
      <c r="F44" s="44">
        <v>12.7923822890189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78" t="s">
        <v>78</v>
      </c>
      <c r="C46" s="179"/>
      <c r="D46" s="179"/>
      <c r="E46" s="179"/>
      <c r="F46" s="180"/>
    </row>
    <row r="47" spans="2:13" ht="9" customHeight="1">
      <c r="B47" s="47"/>
      <c r="C47" s="48"/>
      <c r="D47" s="49"/>
      <c r="E47" s="49"/>
      <c r="F47" s="172"/>
      <c r="G47" s="172"/>
      <c r="H47" s="172"/>
      <c r="I47" s="172"/>
      <c r="J47" s="172"/>
      <c r="K47" s="172"/>
      <c r="L47" s="172"/>
      <c r="M47" s="172"/>
    </row>
    <row r="48" spans="2:13" ht="12.75">
      <c r="B48" s="7"/>
      <c r="C48" s="50" t="s">
        <v>79</v>
      </c>
      <c r="D48" s="176" t="s">
        <v>131</v>
      </c>
      <c r="E48" s="177"/>
      <c r="F48" s="172"/>
      <c r="G48" s="172"/>
      <c r="H48" s="172"/>
      <c r="I48" s="172"/>
      <c r="J48" s="172"/>
      <c r="K48" s="172"/>
      <c r="L48" s="172"/>
      <c r="M48" s="172"/>
    </row>
    <row r="49" spans="2:13" ht="12.75">
      <c r="B49" s="51"/>
      <c r="C49" s="50" t="s">
        <v>66</v>
      </c>
      <c r="D49" s="52" t="s">
        <v>132</v>
      </c>
      <c r="E49" s="52" t="s">
        <v>133</v>
      </c>
      <c r="F49" s="172"/>
      <c r="G49" s="172"/>
      <c r="H49" s="172"/>
      <c r="I49" s="172"/>
      <c r="J49" s="172"/>
      <c r="K49" s="172"/>
      <c r="L49" s="172"/>
      <c r="M49" s="172"/>
    </row>
    <row r="50" spans="2:13" ht="12.75">
      <c r="B50" s="36" t="s">
        <v>194</v>
      </c>
      <c r="C50" s="147">
        <v>1460779.6256</v>
      </c>
      <c r="D50" s="148">
        <v>-0.591072335661105</v>
      </c>
      <c r="E50" s="38">
        <v>7.11418139021269</v>
      </c>
      <c r="F50" s="172"/>
      <c r="G50" s="172"/>
      <c r="H50" s="172"/>
      <c r="I50" s="172"/>
      <c r="J50" s="172"/>
      <c r="K50" s="172"/>
      <c r="L50" s="172"/>
      <c r="M50" s="172"/>
    </row>
    <row r="51" spans="2:13" ht="12.75">
      <c r="B51" s="24" t="s">
        <v>80</v>
      </c>
      <c r="C51" s="53">
        <v>358331.2628</v>
      </c>
      <c r="D51" s="26">
        <v>3.32799560495398</v>
      </c>
      <c r="E51" s="26">
        <v>5.15640622935678</v>
      </c>
      <c r="F51" s="172"/>
      <c r="G51" s="172"/>
      <c r="H51" s="172"/>
      <c r="I51" s="172"/>
      <c r="J51" s="172"/>
      <c r="K51" s="172"/>
      <c r="L51" s="172"/>
      <c r="M51" s="172"/>
    </row>
    <row r="52" spans="2:13" ht="12.75">
      <c r="B52" s="24" t="s">
        <v>201</v>
      </c>
      <c r="C52" s="53">
        <v>119292.3101</v>
      </c>
      <c r="D52" s="26">
        <v>11.6678901215029</v>
      </c>
      <c r="E52" s="26">
        <v>-0.786160652173562</v>
      </c>
      <c r="F52" s="172"/>
      <c r="G52" s="172"/>
      <c r="H52" s="172"/>
      <c r="I52" s="172"/>
      <c r="J52" s="172"/>
      <c r="K52" s="172"/>
      <c r="L52" s="172"/>
      <c r="M52" s="172"/>
    </row>
    <row r="53" spans="2:13" ht="12.75">
      <c r="B53" s="39" t="s">
        <v>81</v>
      </c>
      <c r="C53" s="54">
        <v>-12672.8025</v>
      </c>
      <c r="D53" s="149">
        <v>151.871257821055</v>
      </c>
      <c r="E53" s="149" t="s">
        <v>243</v>
      </c>
      <c r="F53" s="172"/>
      <c r="G53" s="172"/>
      <c r="H53" s="172"/>
      <c r="I53" s="172"/>
      <c r="J53" s="172"/>
      <c r="K53" s="172"/>
      <c r="L53" s="172"/>
      <c r="M53" s="172"/>
    </row>
    <row r="54" spans="2:13" ht="12.75">
      <c r="B54" s="55" t="s">
        <v>82</v>
      </c>
      <c r="C54" s="56">
        <v>1925730.3961</v>
      </c>
      <c r="D54" s="57">
        <v>-3.35093937421314</v>
      </c>
      <c r="E54" s="57">
        <v>2.77683898040595</v>
      </c>
      <c r="F54" s="172"/>
      <c r="G54" s="172"/>
      <c r="H54" s="172"/>
      <c r="I54" s="172"/>
      <c r="J54" s="172"/>
      <c r="K54" s="172"/>
      <c r="L54" s="172"/>
      <c r="M54" s="172"/>
    </row>
    <row r="55" spans="2:13" ht="12.75">
      <c r="B55" s="36" t="s">
        <v>83</v>
      </c>
      <c r="C55" s="58">
        <v>997406.1256</v>
      </c>
      <c r="D55" s="38">
        <v>-1.74308436339308</v>
      </c>
      <c r="E55" s="38">
        <v>2.39411021816032</v>
      </c>
      <c r="F55" s="172"/>
      <c r="G55" s="172"/>
      <c r="H55" s="172"/>
      <c r="I55" s="172"/>
      <c r="J55" s="172"/>
      <c r="K55" s="172"/>
      <c r="L55" s="172"/>
      <c r="M55" s="172"/>
    </row>
    <row r="56" spans="2:13" ht="12.75">
      <c r="B56" s="39" t="s">
        <v>49</v>
      </c>
      <c r="C56" s="54">
        <v>283135.7889</v>
      </c>
      <c r="D56" s="41">
        <v>1.68441683124251</v>
      </c>
      <c r="E56" s="41">
        <v>-12.7899750568945</v>
      </c>
      <c r="F56" s="172"/>
      <c r="G56" s="172"/>
      <c r="H56" s="172"/>
      <c r="I56" s="172"/>
      <c r="J56" s="172"/>
      <c r="K56" s="172"/>
      <c r="L56" s="172"/>
      <c r="M56" s="172"/>
    </row>
    <row r="57" spans="2:13" ht="12.75">
      <c r="B57" s="55" t="s">
        <v>84</v>
      </c>
      <c r="C57" s="56">
        <v>645188.481600001</v>
      </c>
      <c r="D57" s="57">
        <v>-8.24776165023301</v>
      </c>
      <c r="E57" s="57">
        <v>12.2153543168474</v>
      </c>
      <c r="F57" s="172"/>
      <c r="G57" s="172"/>
      <c r="H57" s="172"/>
      <c r="I57" s="172"/>
      <c r="J57" s="172"/>
      <c r="K57" s="172"/>
      <c r="L57" s="172"/>
      <c r="M57" s="172"/>
    </row>
    <row r="58" spans="2:13" ht="12.75">
      <c r="B58" s="36" t="s">
        <v>214</v>
      </c>
      <c r="C58" s="58">
        <v>112950.1372</v>
      </c>
      <c r="D58" s="38">
        <v>32.3132727939742</v>
      </c>
      <c r="E58" s="38">
        <v>7.05598450354994</v>
      </c>
      <c r="F58" s="172"/>
      <c r="G58" s="172"/>
      <c r="H58" s="172"/>
      <c r="I58" s="172"/>
      <c r="J58" s="172"/>
      <c r="K58" s="172"/>
      <c r="L58" s="172"/>
      <c r="M58" s="172"/>
    </row>
    <row r="59" spans="2:13" ht="12.75">
      <c r="B59" s="55" t="s">
        <v>224</v>
      </c>
      <c r="C59" s="59">
        <v>758138.619</v>
      </c>
      <c r="D59" s="57">
        <v>-3.31921140822897</v>
      </c>
      <c r="E59" s="57">
        <v>11.4153928997875</v>
      </c>
      <c r="F59" s="172"/>
      <c r="G59" s="172"/>
      <c r="H59" s="172"/>
      <c r="I59" s="172"/>
      <c r="J59" s="172"/>
      <c r="K59" s="172"/>
      <c r="L59" s="172"/>
      <c r="M59" s="172"/>
    </row>
    <row r="60" spans="2:13" ht="12.75">
      <c r="B60" s="24" t="s">
        <v>104</v>
      </c>
      <c r="C60" s="53">
        <v>-30051.9562</v>
      </c>
      <c r="D60" s="150" t="s">
        <v>243</v>
      </c>
      <c r="E60" s="26">
        <v>-12.7072191293845</v>
      </c>
      <c r="F60" s="172"/>
      <c r="G60" s="172"/>
      <c r="H60" s="172"/>
      <c r="I60" s="172"/>
      <c r="J60" s="172"/>
      <c r="K60" s="172"/>
      <c r="L60" s="172"/>
      <c r="M60" s="172"/>
    </row>
    <row r="61" spans="2:13" ht="12.75">
      <c r="B61" s="55" t="s">
        <v>99</v>
      </c>
      <c r="C61" s="56">
        <v>728086.6626</v>
      </c>
      <c r="D61" s="57">
        <v>-0.584372831318851</v>
      </c>
      <c r="E61" s="57">
        <v>12.7008658096794</v>
      </c>
      <c r="F61" s="172"/>
      <c r="G61" s="172"/>
      <c r="H61" s="172"/>
      <c r="I61" s="172"/>
      <c r="J61" s="172"/>
      <c r="K61" s="172"/>
      <c r="L61" s="172"/>
      <c r="M61" s="172"/>
    </row>
    <row r="62" spans="2:13" ht="12.75">
      <c r="B62" s="39" t="s">
        <v>94</v>
      </c>
      <c r="C62" s="60">
        <v>118476.5416</v>
      </c>
      <c r="D62" s="160">
        <v>-41.3843048164952</v>
      </c>
      <c r="E62" s="41">
        <v>5.98494939242371</v>
      </c>
      <c r="F62" s="172"/>
      <c r="G62" s="172"/>
      <c r="H62" s="172"/>
      <c r="I62" s="172"/>
      <c r="J62" s="172"/>
      <c r="K62" s="172"/>
      <c r="L62" s="172"/>
      <c r="M62" s="172"/>
    </row>
    <row r="63" spans="2:13" ht="12.75">
      <c r="B63" s="55" t="s">
        <v>85</v>
      </c>
      <c r="C63" s="61">
        <v>609610.121</v>
      </c>
      <c r="D63" s="62">
        <v>7.87255287775043</v>
      </c>
      <c r="E63" s="57">
        <v>14.1061047156508</v>
      </c>
      <c r="F63" s="172"/>
      <c r="G63" s="172"/>
      <c r="H63" s="172"/>
      <c r="I63" s="172"/>
      <c r="J63" s="172"/>
      <c r="K63" s="172"/>
      <c r="L63" s="172"/>
      <c r="M63" s="172"/>
    </row>
    <row r="64" spans="3:13" ht="12.75">
      <c r="C64" s="76"/>
      <c r="F64" s="172"/>
      <c r="G64" s="172"/>
      <c r="H64" s="172"/>
      <c r="I64" s="172"/>
      <c r="J64" s="172"/>
      <c r="K64" s="172"/>
      <c r="L64" s="172"/>
      <c r="M64" s="172"/>
    </row>
    <row r="65" spans="2:13" ht="12.75">
      <c r="B65" s="88" t="s">
        <v>27</v>
      </c>
      <c r="F65" s="172"/>
      <c r="G65" s="172"/>
      <c r="H65" s="172"/>
      <c r="I65" s="172"/>
      <c r="J65" s="172"/>
      <c r="K65" s="172"/>
      <c r="L65" s="172"/>
      <c r="M65" s="172"/>
    </row>
    <row r="66" spans="2:13" ht="12.75">
      <c r="B66" s="42" t="s">
        <v>126</v>
      </c>
      <c r="C66" s="64">
        <v>324379.5694</v>
      </c>
      <c r="D66" s="65">
        <v>2.85809398397258</v>
      </c>
      <c r="E66" s="44">
        <v>-0.536179990547925</v>
      </c>
      <c r="F66" s="172"/>
      <c r="G66" s="172"/>
      <c r="H66" s="172"/>
      <c r="I66" s="172"/>
      <c r="J66" s="172"/>
      <c r="K66" s="172"/>
      <c r="L66" s="172"/>
      <c r="M66" s="172"/>
    </row>
    <row r="67" spans="6:13" ht="12.75">
      <c r="F67" s="172"/>
      <c r="G67" s="172"/>
      <c r="H67" s="172"/>
      <c r="I67" s="172"/>
      <c r="J67" s="172"/>
      <c r="K67" s="172"/>
      <c r="L67" s="172"/>
      <c r="M67" s="172"/>
    </row>
    <row r="68" spans="2:13" ht="12.75">
      <c r="B68" s="3" t="s">
        <v>60</v>
      </c>
      <c r="F68" s="172"/>
      <c r="G68" s="172"/>
      <c r="H68" s="172"/>
      <c r="I68" s="172"/>
      <c r="J68" s="172"/>
      <c r="K68" s="172"/>
      <c r="L68" s="172"/>
      <c r="M68" s="172"/>
    </row>
    <row r="69" ht="12.75">
      <c r="B69" s="3" t="s">
        <v>140</v>
      </c>
    </row>
    <row r="70" ht="12.75">
      <c r="B70" s="3" t="s">
        <v>134</v>
      </c>
    </row>
    <row r="71" ht="12.75">
      <c r="B71" s="3" t="s">
        <v>139</v>
      </c>
    </row>
    <row r="73" spans="2:12" ht="12.75">
      <c r="B73" s="3" t="s">
        <v>103</v>
      </c>
      <c r="E73"/>
      <c r="I73" s="174">
        <v>17190.78</v>
      </c>
      <c r="K73" s="173">
        <v>17554.64</v>
      </c>
      <c r="L73" s="173">
        <v>17649.77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06" t="s">
        <v>141</v>
      </c>
      <c r="P1" s="110" t="s">
        <v>148</v>
      </c>
    </row>
    <row r="2" ht="12.75">
      <c r="A2" s="106" t="s">
        <v>142</v>
      </c>
    </row>
    <row r="3" ht="12.75">
      <c r="A3" s="106"/>
    </row>
    <row r="4" spans="1:16" ht="18">
      <c r="A4" s="184" t="s">
        <v>255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2.75">
      <c r="A5" s="185" t="s">
        <v>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5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s="49" customFormat="1" ht="12.75">
      <c r="A7" s="68"/>
      <c r="B7" s="181" t="s">
        <v>0</v>
      </c>
      <c r="C7" s="182"/>
      <c r="D7" s="182"/>
      <c r="E7" s="182"/>
      <c r="F7" s="183"/>
      <c r="G7" s="69" t="s">
        <v>61</v>
      </c>
      <c r="H7" s="68" t="s">
        <v>62</v>
      </c>
      <c r="I7" s="182" t="s">
        <v>38</v>
      </c>
      <c r="J7" s="182"/>
      <c r="K7" s="183"/>
      <c r="L7" s="68" t="s">
        <v>118</v>
      </c>
      <c r="M7" s="68" t="s">
        <v>1</v>
      </c>
      <c r="N7" s="70"/>
      <c r="O7" s="68" t="s">
        <v>0</v>
      </c>
      <c r="P7" s="68" t="s">
        <v>0</v>
      </c>
    </row>
    <row r="8" spans="1:16" s="49" customFormat="1" ht="12.75">
      <c r="A8" s="71" t="s">
        <v>20</v>
      </c>
      <c r="B8" s="72" t="s">
        <v>96</v>
      </c>
      <c r="C8" s="71" t="s">
        <v>97</v>
      </c>
      <c r="D8" s="181" t="s">
        <v>95</v>
      </c>
      <c r="E8" s="182"/>
      <c r="F8" s="183"/>
      <c r="G8" s="66" t="s">
        <v>2</v>
      </c>
      <c r="H8" s="71" t="s">
        <v>2</v>
      </c>
      <c r="I8" s="72" t="s">
        <v>96</v>
      </c>
      <c r="J8" s="71" t="s">
        <v>136</v>
      </c>
      <c r="K8" s="71" t="s">
        <v>105</v>
      </c>
      <c r="L8" s="71" t="s">
        <v>119</v>
      </c>
      <c r="M8" s="71" t="s">
        <v>3</v>
      </c>
      <c r="N8" s="70"/>
      <c r="O8" s="71" t="s">
        <v>63</v>
      </c>
      <c r="P8" s="71" t="s">
        <v>37</v>
      </c>
    </row>
    <row r="9" spans="1:16" s="49" customFormat="1" ht="12.75">
      <c r="A9" s="73"/>
      <c r="B9" s="74"/>
      <c r="C9" s="73"/>
      <c r="D9" s="73" t="s">
        <v>96</v>
      </c>
      <c r="E9" s="73" t="s">
        <v>36</v>
      </c>
      <c r="F9" s="73" t="s">
        <v>106</v>
      </c>
      <c r="G9" s="75"/>
      <c r="H9" s="73"/>
      <c r="I9" s="74"/>
      <c r="J9" s="73" t="s">
        <v>137</v>
      </c>
      <c r="K9" s="73"/>
      <c r="L9" s="73" t="s">
        <v>120</v>
      </c>
      <c r="M9" s="73"/>
      <c r="N9" s="70"/>
      <c r="O9" s="73"/>
      <c r="P9" s="73"/>
    </row>
    <row r="10" spans="2:16" ht="12.7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O10" s="76"/>
      <c r="P10" s="76"/>
    </row>
    <row r="11" spans="1:16" s="49" customFormat="1" ht="12.75">
      <c r="A11" s="77" t="s">
        <v>16</v>
      </c>
      <c r="B11" s="78">
        <v>34815361.335</v>
      </c>
      <c r="C11" s="78">
        <v>24562364.9284</v>
      </c>
      <c r="D11" s="78">
        <v>10252996.406</v>
      </c>
      <c r="E11" s="78">
        <v>4043992.4517</v>
      </c>
      <c r="F11" s="78">
        <v>6209003.9543</v>
      </c>
      <c r="G11" s="78">
        <v>4983155.1069</v>
      </c>
      <c r="H11" s="78">
        <v>45547666.4474</v>
      </c>
      <c r="I11" s="78">
        <v>26474322.0662</v>
      </c>
      <c r="J11" s="78">
        <v>5418059.8196</v>
      </c>
      <c r="K11" s="78">
        <v>21056262.2466</v>
      </c>
      <c r="L11" s="78">
        <v>5207005.3349</v>
      </c>
      <c r="M11" s="78">
        <v>3354648.8589</v>
      </c>
      <c r="N11" s="79"/>
      <c r="O11" s="78">
        <v>2896476.2416</v>
      </c>
      <c r="P11" s="78">
        <v>365999.3128</v>
      </c>
    </row>
    <row r="12" spans="1:16" ht="12.75">
      <c r="A12" s="80" t="s">
        <v>28</v>
      </c>
      <c r="B12" s="80">
        <v>194653.8796</v>
      </c>
      <c r="C12" s="80">
        <v>193535.427</v>
      </c>
      <c r="D12" s="80">
        <v>1118.4523</v>
      </c>
      <c r="E12" s="80">
        <v>15.555</v>
      </c>
      <c r="F12" s="80">
        <v>1102.8973</v>
      </c>
      <c r="G12" s="80">
        <v>156344.9089</v>
      </c>
      <c r="H12" s="80">
        <v>488000.8877</v>
      </c>
      <c r="I12" s="80">
        <v>129990.4751</v>
      </c>
      <c r="J12" s="80">
        <v>11545.2004</v>
      </c>
      <c r="K12" s="80">
        <v>118445.2747</v>
      </c>
      <c r="L12" s="80">
        <v>0</v>
      </c>
      <c r="M12" s="80">
        <v>95611.5598</v>
      </c>
      <c r="N12" s="76"/>
      <c r="O12" s="80">
        <v>11064.6479</v>
      </c>
      <c r="P12" s="80">
        <v>2895.5673</v>
      </c>
    </row>
    <row r="13" spans="1:16" ht="12.75">
      <c r="A13" s="81" t="s">
        <v>25</v>
      </c>
      <c r="B13" s="81">
        <v>3323092.7345</v>
      </c>
      <c r="C13" s="81">
        <v>2202062.0231</v>
      </c>
      <c r="D13" s="81">
        <v>1121030.7107</v>
      </c>
      <c r="E13" s="81">
        <v>286983.3197</v>
      </c>
      <c r="F13" s="81">
        <v>834047.391</v>
      </c>
      <c r="G13" s="81">
        <v>359187.6151</v>
      </c>
      <c r="H13" s="81">
        <v>4059820.2882</v>
      </c>
      <c r="I13" s="81">
        <v>2740302.8331</v>
      </c>
      <c r="J13" s="81">
        <v>305937.8092</v>
      </c>
      <c r="K13" s="81">
        <v>2434365.0239</v>
      </c>
      <c r="L13" s="81">
        <v>270855.3829</v>
      </c>
      <c r="M13" s="81">
        <v>257031.4353</v>
      </c>
      <c r="N13" s="76"/>
      <c r="O13" s="81">
        <v>287946.9892</v>
      </c>
      <c r="P13" s="81">
        <v>41795.618</v>
      </c>
    </row>
    <row r="14" spans="1:16" ht="12.75">
      <c r="A14" s="81" t="s">
        <v>5</v>
      </c>
      <c r="B14" s="81">
        <v>1093259.3996</v>
      </c>
      <c r="C14" s="81">
        <v>969420.4544</v>
      </c>
      <c r="D14" s="81">
        <v>123838.9446</v>
      </c>
      <c r="E14" s="81">
        <v>31930.7057</v>
      </c>
      <c r="F14" s="81">
        <v>91908.2389</v>
      </c>
      <c r="G14" s="81">
        <v>302563.5675</v>
      </c>
      <c r="H14" s="81">
        <v>1630909.9431</v>
      </c>
      <c r="I14" s="81">
        <v>880706.5966</v>
      </c>
      <c r="J14" s="81">
        <v>208859.2992</v>
      </c>
      <c r="K14" s="81">
        <v>671847.2974</v>
      </c>
      <c r="L14" s="81">
        <v>146712.3176</v>
      </c>
      <c r="M14" s="81">
        <v>114034.2359</v>
      </c>
      <c r="N14" s="76"/>
      <c r="O14" s="81">
        <v>149855.4148</v>
      </c>
      <c r="P14" s="81">
        <v>4395.3071</v>
      </c>
    </row>
    <row r="15" spans="1:16" ht="12.75">
      <c r="A15" s="81" t="s">
        <v>6</v>
      </c>
      <c r="B15" s="81">
        <v>2796406.7191</v>
      </c>
      <c r="C15" s="81">
        <v>2242852.7446</v>
      </c>
      <c r="D15" s="81">
        <v>553553.9739</v>
      </c>
      <c r="E15" s="81">
        <v>334933.8204</v>
      </c>
      <c r="F15" s="81">
        <v>218620.1535</v>
      </c>
      <c r="G15" s="81">
        <v>398267.6642</v>
      </c>
      <c r="H15" s="81">
        <v>3408051.9537</v>
      </c>
      <c r="I15" s="81">
        <v>1860145.874</v>
      </c>
      <c r="J15" s="81">
        <v>167935.343</v>
      </c>
      <c r="K15" s="81">
        <v>1692210.531</v>
      </c>
      <c r="L15" s="81">
        <v>495001.0609</v>
      </c>
      <c r="M15" s="81">
        <v>359549.9826</v>
      </c>
      <c r="N15" s="76"/>
      <c r="O15" s="81">
        <v>213354.8054</v>
      </c>
      <c r="P15" s="81">
        <v>21565.9508</v>
      </c>
    </row>
    <row r="16" spans="1:16" ht="12.75">
      <c r="A16" s="81" t="s">
        <v>7</v>
      </c>
      <c r="B16" s="81">
        <v>7476074.3298</v>
      </c>
      <c r="C16" s="81">
        <v>5390872.7806</v>
      </c>
      <c r="D16" s="81">
        <v>2085201.5487</v>
      </c>
      <c r="E16" s="81">
        <v>798554.2733</v>
      </c>
      <c r="F16" s="81">
        <v>1286647.2754</v>
      </c>
      <c r="G16" s="81">
        <v>772037.1799</v>
      </c>
      <c r="H16" s="81">
        <v>9278925.1303</v>
      </c>
      <c r="I16" s="81">
        <v>5444500.1482</v>
      </c>
      <c r="J16" s="81">
        <v>1387103.7126</v>
      </c>
      <c r="K16" s="81">
        <v>4057396.4356</v>
      </c>
      <c r="L16" s="81">
        <v>1215846.8309</v>
      </c>
      <c r="M16" s="81">
        <v>589098.866</v>
      </c>
      <c r="N16" s="76"/>
      <c r="O16" s="81">
        <v>611119.7313</v>
      </c>
      <c r="P16" s="81">
        <v>75936.5206</v>
      </c>
    </row>
    <row r="17" spans="1:16" ht="12.75">
      <c r="A17" s="81" t="s">
        <v>244</v>
      </c>
      <c r="B17" s="81">
        <v>5083725.9558</v>
      </c>
      <c r="C17" s="81">
        <v>3660142.1119</v>
      </c>
      <c r="D17" s="81">
        <v>1423583.8435</v>
      </c>
      <c r="E17" s="81">
        <v>593860.6503</v>
      </c>
      <c r="F17" s="81">
        <v>829723.1932</v>
      </c>
      <c r="G17" s="81">
        <v>855988.6969</v>
      </c>
      <c r="H17" s="81">
        <v>6761672.0168</v>
      </c>
      <c r="I17" s="81">
        <v>3950874.7966</v>
      </c>
      <c r="J17" s="81">
        <v>1060887.1339</v>
      </c>
      <c r="K17" s="81">
        <v>2889987.6627</v>
      </c>
      <c r="L17" s="81">
        <v>601373.3966</v>
      </c>
      <c r="M17" s="81">
        <v>392242.88</v>
      </c>
      <c r="N17" s="76"/>
      <c r="O17" s="81">
        <v>485228.9811</v>
      </c>
      <c r="P17" s="81">
        <v>43476.0346</v>
      </c>
    </row>
    <row r="18" spans="1:16" ht="12.75">
      <c r="A18" s="81" t="s">
        <v>8</v>
      </c>
      <c r="B18" s="81">
        <v>1611500.1175</v>
      </c>
      <c r="C18" s="81">
        <v>1308862.1888</v>
      </c>
      <c r="D18" s="81">
        <v>302637.9282</v>
      </c>
      <c r="E18" s="81">
        <v>40343.4094</v>
      </c>
      <c r="F18" s="81">
        <v>262294.5188</v>
      </c>
      <c r="G18" s="81">
        <v>68392.4494</v>
      </c>
      <c r="H18" s="81">
        <v>1862387.8839</v>
      </c>
      <c r="I18" s="81">
        <v>999505.3397</v>
      </c>
      <c r="J18" s="81">
        <v>148716.9944</v>
      </c>
      <c r="K18" s="81">
        <v>850788.3453</v>
      </c>
      <c r="L18" s="81">
        <v>408888.6654</v>
      </c>
      <c r="M18" s="81">
        <v>140879.2403</v>
      </c>
      <c r="N18" s="76"/>
      <c r="O18" s="81">
        <v>67474.6357</v>
      </c>
      <c r="P18" s="81">
        <v>23578.2086</v>
      </c>
    </row>
    <row r="19" spans="1:16" ht="12.75">
      <c r="A19" s="81" t="s">
        <v>31</v>
      </c>
      <c r="B19" s="81">
        <v>3869.8425</v>
      </c>
      <c r="C19" s="81">
        <v>3869.8425</v>
      </c>
      <c r="D19" s="81">
        <v>0</v>
      </c>
      <c r="E19" s="81">
        <v>0</v>
      </c>
      <c r="F19" s="81">
        <v>0</v>
      </c>
      <c r="G19" s="81">
        <v>175035.5533</v>
      </c>
      <c r="H19" s="81">
        <v>427633.2464</v>
      </c>
      <c r="I19" s="81">
        <v>135758.7332</v>
      </c>
      <c r="J19" s="81">
        <v>5136.2203</v>
      </c>
      <c r="K19" s="81">
        <v>130622.5129</v>
      </c>
      <c r="L19" s="81">
        <v>0</v>
      </c>
      <c r="M19" s="81">
        <v>68849.3392</v>
      </c>
      <c r="N19" s="76"/>
      <c r="O19" s="81">
        <v>0</v>
      </c>
      <c r="P19" s="81">
        <v>0</v>
      </c>
    </row>
    <row r="20" spans="1:16" ht="12.75">
      <c r="A20" s="81" t="s">
        <v>11</v>
      </c>
      <c r="B20" s="81">
        <v>324755.7021</v>
      </c>
      <c r="C20" s="81">
        <v>20809.871</v>
      </c>
      <c r="D20" s="81">
        <v>303945.8309</v>
      </c>
      <c r="E20" s="81">
        <v>245051.4065</v>
      </c>
      <c r="F20" s="81">
        <v>58894.4244</v>
      </c>
      <c r="G20" s="81">
        <v>14462.3135</v>
      </c>
      <c r="H20" s="81">
        <v>389696.1914</v>
      </c>
      <c r="I20" s="81">
        <v>254504.6193</v>
      </c>
      <c r="J20" s="81">
        <v>16472.9551</v>
      </c>
      <c r="K20" s="81">
        <v>238031.6642</v>
      </c>
      <c r="L20" s="81">
        <v>46129.9077</v>
      </c>
      <c r="M20" s="81">
        <v>44339.969</v>
      </c>
      <c r="N20" s="76"/>
      <c r="O20" s="81">
        <v>0</v>
      </c>
      <c r="P20" s="81">
        <v>802.9432</v>
      </c>
    </row>
    <row r="21" spans="1:16" ht="12.75">
      <c r="A21" s="81" t="s">
        <v>24</v>
      </c>
      <c r="B21" s="81">
        <v>111208.5514</v>
      </c>
      <c r="C21" s="81">
        <v>111208.5511</v>
      </c>
      <c r="D21" s="81">
        <v>0</v>
      </c>
      <c r="E21" s="81">
        <v>0</v>
      </c>
      <c r="F21" s="81">
        <v>0</v>
      </c>
      <c r="G21" s="81">
        <v>12159.3678</v>
      </c>
      <c r="H21" s="81">
        <v>141099.1874</v>
      </c>
      <c r="I21" s="81">
        <v>94014.878</v>
      </c>
      <c r="J21" s="81">
        <v>7714.5014</v>
      </c>
      <c r="K21" s="81">
        <v>86300.3766</v>
      </c>
      <c r="L21" s="81">
        <v>0</v>
      </c>
      <c r="M21" s="81">
        <v>14071.7253</v>
      </c>
      <c r="N21" s="76"/>
      <c r="O21" s="81">
        <v>5588.5726</v>
      </c>
      <c r="P21" s="81">
        <v>1052.5178</v>
      </c>
    </row>
    <row r="22" spans="1:16" ht="12.75">
      <c r="A22" s="81" t="s">
        <v>29</v>
      </c>
      <c r="B22" s="81">
        <v>139407.8478</v>
      </c>
      <c r="C22" s="81">
        <v>139328.2234</v>
      </c>
      <c r="D22" s="81">
        <v>79.6241</v>
      </c>
      <c r="E22" s="81">
        <v>79.6241</v>
      </c>
      <c r="F22" s="81">
        <v>0</v>
      </c>
      <c r="G22" s="81">
        <v>205300.4668</v>
      </c>
      <c r="H22" s="81">
        <v>429462.0998</v>
      </c>
      <c r="I22" s="81">
        <v>196478.36</v>
      </c>
      <c r="J22" s="81">
        <v>5840.8303</v>
      </c>
      <c r="K22" s="81">
        <v>190637.5297</v>
      </c>
      <c r="L22" s="81">
        <v>0</v>
      </c>
      <c r="M22" s="81">
        <v>91272.3775</v>
      </c>
      <c r="N22" s="76"/>
      <c r="O22" s="81">
        <v>25809.5717</v>
      </c>
      <c r="P22" s="81">
        <v>18.4616</v>
      </c>
    </row>
    <row r="23" spans="1:16" ht="12.75">
      <c r="A23" s="81" t="s">
        <v>9</v>
      </c>
      <c r="B23" s="81">
        <v>126042.3956</v>
      </c>
      <c r="C23" s="81">
        <v>125035.0804</v>
      </c>
      <c r="D23" s="81">
        <v>1007.3147</v>
      </c>
      <c r="E23" s="81">
        <v>273.8904</v>
      </c>
      <c r="F23" s="81">
        <v>733.4243</v>
      </c>
      <c r="G23" s="81">
        <v>30369.7441</v>
      </c>
      <c r="H23" s="81">
        <v>187420.7753</v>
      </c>
      <c r="I23" s="81">
        <v>133507.6816</v>
      </c>
      <c r="J23" s="81">
        <v>18355.7515</v>
      </c>
      <c r="K23" s="81">
        <v>115151.9301</v>
      </c>
      <c r="L23" s="81">
        <v>2980.9532</v>
      </c>
      <c r="M23" s="81">
        <v>15346.0505</v>
      </c>
      <c r="N23" s="76"/>
      <c r="O23" s="81">
        <v>7960.5142</v>
      </c>
      <c r="P23" s="81">
        <v>2383.9749</v>
      </c>
    </row>
    <row r="24" spans="1:16" ht="12.75">
      <c r="A24" s="81" t="s">
        <v>26</v>
      </c>
      <c r="B24" s="81">
        <v>14801.7546</v>
      </c>
      <c r="C24" s="81">
        <v>14801.7544</v>
      </c>
      <c r="D24" s="81">
        <v>0</v>
      </c>
      <c r="E24" s="81">
        <v>0</v>
      </c>
      <c r="F24" s="81">
        <v>0</v>
      </c>
      <c r="G24" s="81">
        <v>15907.064</v>
      </c>
      <c r="H24" s="81">
        <v>51924.3506</v>
      </c>
      <c r="I24" s="81">
        <v>20965.5761</v>
      </c>
      <c r="J24" s="81">
        <v>3358.0765</v>
      </c>
      <c r="K24" s="81">
        <v>17607.4996</v>
      </c>
      <c r="L24" s="81">
        <v>0</v>
      </c>
      <c r="M24" s="81">
        <v>8479.4878</v>
      </c>
      <c r="N24" s="76"/>
      <c r="O24" s="81">
        <v>143.8038</v>
      </c>
      <c r="P24" s="81">
        <v>11.305</v>
      </c>
    </row>
    <row r="25" spans="1:16" ht="12.75">
      <c r="A25" s="81" t="s">
        <v>251</v>
      </c>
      <c r="B25" s="81">
        <v>127870.3745</v>
      </c>
      <c r="C25" s="81">
        <v>514.872</v>
      </c>
      <c r="D25" s="81">
        <v>127355.5024</v>
      </c>
      <c r="E25" s="81">
        <v>127061.6991</v>
      </c>
      <c r="F25" s="81">
        <v>293.8033</v>
      </c>
      <c r="G25" s="81">
        <v>1743.5314</v>
      </c>
      <c r="H25" s="81">
        <v>144377.862</v>
      </c>
      <c r="I25" s="81">
        <v>117488.4472</v>
      </c>
      <c r="J25" s="81">
        <v>4470.5558</v>
      </c>
      <c r="K25" s="81">
        <v>113017.8914</v>
      </c>
      <c r="L25" s="81">
        <v>243.2002</v>
      </c>
      <c r="M25" s="81">
        <v>14272.8197</v>
      </c>
      <c r="N25" s="76"/>
      <c r="O25" s="81">
        <v>0</v>
      </c>
      <c r="P25" s="81">
        <v>353.4899</v>
      </c>
    </row>
    <row r="26" spans="1:16" ht="12.75">
      <c r="A26" s="81" t="s">
        <v>30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38863.3233</v>
      </c>
      <c r="H26" s="81">
        <v>79457.1898</v>
      </c>
      <c r="I26" s="81">
        <v>29335.0039</v>
      </c>
      <c r="J26" s="81">
        <v>-1079.56760000001</v>
      </c>
      <c r="K26" s="81">
        <v>30414.5715</v>
      </c>
      <c r="L26" s="81">
        <v>0</v>
      </c>
      <c r="M26" s="81">
        <v>19953.5789</v>
      </c>
      <c r="N26" s="76"/>
      <c r="O26" s="81">
        <v>0</v>
      </c>
      <c r="P26" s="81">
        <v>0</v>
      </c>
    </row>
    <row r="27" spans="1:16" ht="12.75">
      <c r="A27" s="81" t="s">
        <v>22</v>
      </c>
      <c r="B27" s="81">
        <v>141030.3065</v>
      </c>
      <c r="C27" s="81">
        <v>11110.0735</v>
      </c>
      <c r="D27" s="81">
        <v>129920.2326</v>
      </c>
      <c r="E27" s="81">
        <v>114598.9316</v>
      </c>
      <c r="F27" s="81">
        <v>15321.301</v>
      </c>
      <c r="G27" s="81">
        <v>5513.2079</v>
      </c>
      <c r="H27" s="81">
        <v>170889.1485</v>
      </c>
      <c r="I27" s="81">
        <v>127648.4437</v>
      </c>
      <c r="J27" s="81">
        <v>2245.2995</v>
      </c>
      <c r="K27" s="81">
        <v>125403.1442</v>
      </c>
      <c r="L27" s="81">
        <v>15998.1988</v>
      </c>
      <c r="M27" s="81">
        <v>17212.5593</v>
      </c>
      <c r="N27" s="76"/>
      <c r="O27" s="81">
        <v>0</v>
      </c>
      <c r="P27" s="81">
        <v>166.336</v>
      </c>
    </row>
    <row r="28" spans="1:16" ht="12.75">
      <c r="A28" s="81" t="s">
        <v>10</v>
      </c>
      <c r="B28" s="81">
        <v>9745716.6905</v>
      </c>
      <c r="C28" s="81">
        <v>6259467.1123</v>
      </c>
      <c r="D28" s="81">
        <v>3486249.5776</v>
      </c>
      <c r="E28" s="81">
        <v>1319839.8599</v>
      </c>
      <c r="F28" s="81">
        <v>2166409.7177</v>
      </c>
      <c r="G28" s="81">
        <v>1118097.0597</v>
      </c>
      <c r="H28" s="81">
        <v>12611730.2011</v>
      </c>
      <c r="I28" s="81">
        <v>7362934.5943</v>
      </c>
      <c r="J28" s="81">
        <v>1750290.3131</v>
      </c>
      <c r="K28" s="81">
        <v>5612644.2812</v>
      </c>
      <c r="L28" s="81">
        <v>1622985.4179</v>
      </c>
      <c r="M28" s="81">
        <v>847395.8986</v>
      </c>
      <c r="N28" s="76"/>
      <c r="O28" s="81">
        <v>860049.7941</v>
      </c>
      <c r="P28" s="81">
        <v>114060.5244</v>
      </c>
    </row>
    <row r="29" spans="1:16" ht="12.75">
      <c r="A29" s="81" t="s">
        <v>32</v>
      </c>
      <c r="B29" s="81">
        <v>1318054.9817</v>
      </c>
      <c r="C29" s="81">
        <v>1206672.6544</v>
      </c>
      <c r="D29" s="81">
        <v>111382.3268</v>
      </c>
      <c r="E29" s="81">
        <v>23783.7633</v>
      </c>
      <c r="F29" s="81">
        <v>87598.5635</v>
      </c>
      <c r="G29" s="81">
        <v>242746.3384</v>
      </c>
      <c r="H29" s="81">
        <v>1878787.3655</v>
      </c>
      <c r="I29" s="81">
        <v>1028588.2861</v>
      </c>
      <c r="J29" s="81">
        <v>129344.6811</v>
      </c>
      <c r="K29" s="81">
        <v>899243.605</v>
      </c>
      <c r="L29" s="81">
        <v>201412.7152</v>
      </c>
      <c r="M29" s="81">
        <v>130043.2954</v>
      </c>
      <c r="N29" s="76"/>
      <c r="O29" s="81">
        <v>88387.2959</v>
      </c>
      <c r="P29" s="81">
        <v>9291.1294</v>
      </c>
    </row>
    <row r="30" spans="1:16" ht="12.75">
      <c r="A30" s="82" t="s">
        <v>21</v>
      </c>
      <c r="B30" s="82">
        <v>1183889.7511</v>
      </c>
      <c r="C30" s="82">
        <v>701799.1586</v>
      </c>
      <c r="D30" s="82">
        <v>482090.592</v>
      </c>
      <c r="E30" s="82">
        <v>126681.5414</v>
      </c>
      <c r="F30" s="82">
        <v>355409.0506</v>
      </c>
      <c r="G30" s="82">
        <v>210175.0538</v>
      </c>
      <c r="H30" s="82">
        <v>1545420.7249</v>
      </c>
      <c r="I30" s="82">
        <v>967071.3782</v>
      </c>
      <c r="J30" s="82">
        <v>184924.7093</v>
      </c>
      <c r="K30" s="82">
        <v>782146.6689</v>
      </c>
      <c r="L30" s="82">
        <v>178577.2861</v>
      </c>
      <c r="M30" s="82">
        <v>134963.5571</v>
      </c>
      <c r="N30" s="76"/>
      <c r="O30" s="82">
        <v>82491.4833</v>
      </c>
      <c r="P30" s="82">
        <v>24215.4229</v>
      </c>
    </row>
    <row r="31" ht="12.75">
      <c r="N31" s="76"/>
    </row>
    <row r="32" spans="1:16" ht="12.75">
      <c r="A32" s="78" t="s">
        <v>138</v>
      </c>
      <c r="B32" s="78">
        <v>5683085.0985</v>
      </c>
      <c r="C32" s="78">
        <v>2770562.3452</v>
      </c>
      <c r="D32" s="78">
        <v>2912522.7529</v>
      </c>
      <c r="E32" s="78">
        <v>599655.3261</v>
      </c>
      <c r="F32" s="78">
        <v>2312867.4268</v>
      </c>
      <c r="G32" s="78">
        <v>3191222.8337</v>
      </c>
      <c r="H32" s="78">
        <v>9654488.6059</v>
      </c>
      <c r="I32" s="78">
        <v>5573693.0202</v>
      </c>
      <c r="J32" s="78">
        <v>1309984.4621</v>
      </c>
      <c r="K32" s="78">
        <v>4263708.5581</v>
      </c>
      <c r="L32" s="78">
        <v>2275015.0764</v>
      </c>
      <c r="M32" s="78">
        <v>411030.5525</v>
      </c>
      <c r="N32" s="83"/>
      <c r="O32" s="78">
        <v>190584.1442</v>
      </c>
      <c r="P32" s="78">
        <v>45178.1678</v>
      </c>
    </row>
    <row r="33" ht="12.75">
      <c r="N33" s="76"/>
    </row>
    <row r="34" spans="1:16" s="49" customFormat="1" ht="12.75">
      <c r="A34" s="78" t="s">
        <v>23</v>
      </c>
      <c r="B34" s="78">
        <v>2027353.9025</v>
      </c>
      <c r="C34" s="78">
        <v>1297135.1667</v>
      </c>
      <c r="D34" s="78">
        <v>730218.7354</v>
      </c>
      <c r="E34" s="78">
        <v>456477.4847</v>
      </c>
      <c r="F34" s="78">
        <v>273741.2507</v>
      </c>
      <c r="G34" s="78">
        <v>605111.7864</v>
      </c>
      <c r="H34" s="78">
        <v>3324589.6637</v>
      </c>
      <c r="I34" s="78">
        <v>1785434.0067</v>
      </c>
      <c r="J34" s="78">
        <v>520950.3774</v>
      </c>
      <c r="K34" s="78">
        <v>1264483.6293</v>
      </c>
      <c r="L34" s="78">
        <v>252120.8514</v>
      </c>
      <c r="M34" s="78">
        <v>579606.479</v>
      </c>
      <c r="N34" s="84"/>
      <c r="O34" s="78">
        <v>88575.4542</v>
      </c>
      <c r="P34" s="78">
        <v>19080.0565</v>
      </c>
    </row>
    <row r="35" spans="1:16" ht="12.75">
      <c r="A35" s="81" t="s">
        <v>34</v>
      </c>
      <c r="B35" s="81">
        <v>1017947.9409</v>
      </c>
      <c r="C35" s="81">
        <v>611515.6482</v>
      </c>
      <c r="D35" s="81">
        <v>406432.2922</v>
      </c>
      <c r="E35" s="81">
        <v>174868.3242</v>
      </c>
      <c r="F35" s="81">
        <v>231563.968</v>
      </c>
      <c r="G35" s="81">
        <v>103017.8733</v>
      </c>
      <c r="H35" s="81">
        <v>1231696.313</v>
      </c>
      <c r="I35" s="81">
        <v>730987.7807</v>
      </c>
      <c r="J35" s="81">
        <v>150639.472</v>
      </c>
      <c r="K35" s="81">
        <v>580348.3087</v>
      </c>
      <c r="L35" s="81">
        <v>192851.9048</v>
      </c>
      <c r="M35" s="81">
        <v>156207.1713</v>
      </c>
      <c r="N35" s="76"/>
      <c r="O35" s="81">
        <v>46666.1936</v>
      </c>
      <c r="P35" s="81">
        <v>12633.0975</v>
      </c>
    </row>
    <row r="36" spans="1:16" ht="12.75">
      <c r="A36" s="81" t="s">
        <v>12</v>
      </c>
      <c r="B36" s="81">
        <v>847102.4297</v>
      </c>
      <c r="C36" s="81">
        <v>523366.0068</v>
      </c>
      <c r="D36" s="81">
        <v>323736.4224</v>
      </c>
      <c r="E36" s="81">
        <v>281559.1398</v>
      </c>
      <c r="F36" s="81">
        <v>42177.2826</v>
      </c>
      <c r="G36" s="81">
        <v>341723.107</v>
      </c>
      <c r="H36" s="81">
        <v>1616340.1483</v>
      </c>
      <c r="I36" s="81">
        <v>950815.866</v>
      </c>
      <c r="J36" s="81">
        <v>343307.2122</v>
      </c>
      <c r="K36" s="81">
        <v>607508.6538</v>
      </c>
      <c r="L36" s="81">
        <v>59268.9466</v>
      </c>
      <c r="M36" s="81">
        <v>246987.4412</v>
      </c>
      <c r="N36" s="76"/>
      <c r="O36" s="81">
        <v>35778.7314</v>
      </c>
      <c r="P36" s="81">
        <v>6431.859</v>
      </c>
    </row>
    <row r="37" spans="1:16" ht="12.75">
      <c r="A37" s="81" t="s">
        <v>14</v>
      </c>
      <c r="B37" s="81">
        <v>11610.3978</v>
      </c>
      <c r="C37" s="81">
        <v>11575.0035</v>
      </c>
      <c r="D37" s="81">
        <v>35.3941</v>
      </c>
      <c r="E37" s="81">
        <v>35.3941</v>
      </c>
      <c r="F37" s="81">
        <v>0</v>
      </c>
      <c r="G37" s="81">
        <v>0</v>
      </c>
      <c r="H37" s="81">
        <v>16657.301</v>
      </c>
      <c r="I37" s="81">
        <v>2145.4199</v>
      </c>
      <c r="J37" s="81">
        <v>1036.3135</v>
      </c>
      <c r="K37" s="81">
        <v>1109.1064</v>
      </c>
      <c r="L37" s="81">
        <v>0</v>
      </c>
      <c r="M37" s="81">
        <v>14280.0697</v>
      </c>
      <c r="N37" s="76"/>
      <c r="O37" s="81">
        <v>590.7501</v>
      </c>
      <c r="P37" s="81">
        <v>15.0999</v>
      </c>
    </row>
    <row r="38" spans="1:16" ht="12.75">
      <c r="A38" s="81" t="s">
        <v>13</v>
      </c>
      <c r="B38" s="81">
        <v>33030.6846</v>
      </c>
      <c r="C38" s="81">
        <v>33016.0583</v>
      </c>
      <c r="D38" s="81">
        <v>14.6262</v>
      </c>
      <c r="E38" s="81">
        <v>14.6262</v>
      </c>
      <c r="F38" s="81">
        <v>0</v>
      </c>
      <c r="G38" s="81">
        <v>0.8006</v>
      </c>
      <c r="H38" s="81">
        <v>37869.6872</v>
      </c>
      <c r="I38" s="81">
        <v>5224.0214</v>
      </c>
      <c r="J38" s="81">
        <v>1570.6464</v>
      </c>
      <c r="K38" s="81">
        <v>3653.375</v>
      </c>
      <c r="L38" s="81">
        <v>0</v>
      </c>
      <c r="M38" s="81">
        <v>20164.5046</v>
      </c>
      <c r="N38" s="76"/>
      <c r="O38" s="81">
        <v>4780.3075</v>
      </c>
      <c r="P38" s="81">
        <v>0</v>
      </c>
    </row>
    <row r="39" spans="1:16" ht="12.75">
      <c r="A39" s="81" t="s">
        <v>35</v>
      </c>
      <c r="B39" s="81">
        <v>28162.4008</v>
      </c>
      <c r="C39" s="81">
        <v>28162.4007</v>
      </c>
      <c r="D39" s="81">
        <v>0</v>
      </c>
      <c r="E39" s="81">
        <v>0</v>
      </c>
      <c r="F39" s="81">
        <v>0</v>
      </c>
      <c r="G39" s="81">
        <v>14174.7436</v>
      </c>
      <c r="H39" s="81">
        <v>59581.1046</v>
      </c>
      <c r="I39" s="81">
        <v>40326.9652</v>
      </c>
      <c r="J39" s="81">
        <v>16704.4434</v>
      </c>
      <c r="K39" s="81">
        <v>23622.5218</v>
      </c>
      <c r="L39" s="81">
        <v>0</v>
      </c>
      <c r="M39" s="81">
        <v>13927.5042</v>
      </c>
      <c r="N39" s="76"/>
      <c r="O39" s="81">
        <v>759.4715</v>
      </c>
      <c r="P39" s="81">
        <v>0</v>
      </c>
    </row>
    <row r="40" spans="1:16" ht="12.75">
      <c r="A40" s="82" t="s">
        <v>33</v>
      </c>
      <c r="B40" s="82">
        <v>89500.0485</v>
      </c>
      <c r="C40" s="82">
        <v>89500.0485</v>
      </c>
      <c r="D40" s="82">
        <v>0</v>
      </c>
      <c r="E40" s="82">
        <v>0</v>
      </c>
      <c r="F40" s="82">
        <v>0</v>
      </c>
      <c r="G40" s="82">
        <v>146195.2617</v>
      </c>
      <c r="H40" s="82">
        <v>362445.1094</v>
      </c>
      <c r="I40" s="82">
        <v>55933.953</v>
      </c>
      <c r="J40" s="82">
        <v>7692.2896</v>
      </c>
      <c r="K40" s="82">
        <v>48241.6634</v>
      </c>
      <c r="L40" s="82">
        <v>0</v>
      </c>
      <c r="M40" s="82">
        <v>128039.7878</v>
      </c>
      <c r="N40" s="76"/>
      <c r="O40" s="82">
        <v>0</v>
      </c>
      <c r="P40" s="82">
        <v>0</v>
      </c>
    </row>
    <row r="41" spans="10:16" ht="12.75">
      <c r="J41" s="76"/>
      <c r="K41" s="76"/>
      <c r="L41" s="76"/>
      <c r="M41" s="76"/>
      <c r="N41" s="76"/>
      <c r="O41" s="76"/>
      <c r="P41" s="76"/>
    </row>
    <row r="42" spans="1:16" s="49" customFormat="1" ht="12.75">
      <c r="A42" s="77" t="s">
        <v>15</v>
      </c>
      <c r="B42" s="78">
        <v>42525800.3361</v>
      </c>
      <c r="C42" s="78">
        <v>28630062.4408</v>
      </c>
      <c r="D42" s="78">
        <v>13895737.8945</v>
      </c>
      <c r="E42" s="78">
        <v>5100125.2625</v>
      </c>
      <c r="F42" s="78">
        <v>8795612.632</v>
      </c>
      <c r="G42" s="78">
        <v>8779489.7271</v>
      </c>
      <c r="H42" s="78">
        <v>58526744.717</v>
      </c>
      <c r="I42" s="78">
        <v>33833449.0932</v>
      </c>
      <c r="J42" s="78">
        <v>7248994.6592</v>
      </c>
      <c r="K42" s="78">
        <v>26584454.434</v>
      </c>
      <c r="L42" s="78">
        <v>7734141.2631</v>
      </c>
      <c r="M42" s="78">
        <v>4345285.8906</v>
      </c>
      <c r="N42" s="48"/>
      <c r="O42" s="78">
        <v>3175635.8402</v>
      </c>
      <c r="P42" s="78">
        <v>430257.5373</v>
      </c>
    </row>
    <row r="43" spans="1:16" s="49" customFormat="1" ht="12.7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48"/>
      <c r="O43" s="86"/>
      <c r="P43" s="86"/>
    </row>
    <row r="44" ht="12.75">
      <c r="A44" s="45"/>
    </row>
    <row r="45" ht="12.75">
      <c r="N45" s="49"/>
    </row>
    <row r="46" spans="1:14" ht="12.75">
      <c r="A46" s="3" t="s">
        <v>103</v>
      </c>
      <c r="N46" s="49"/>
    </row>
    <row r="47" ht="12.75">
      <c r="N47" s="49"/>
    </row>
    <row r="48" ht="12.75">
      <c r="N48" s="49"/>
    </row>
    <row r="49" ht="12.75">
      <c r="N49" s="49"/>
    </row>
    <row r="50" ht="12.75">
      <c r="N50" s="49"/>
    </row>
    <row r="51" ht="12.75">
      <c r="N51" s="49"/>
    </row>
    <row r="52" ht="12.75"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8" spans="1:13" ht="12.75">
      <c r="A58" s="47"/>
      <c r="B58" s="49"/>
      <c r="C58" s="49"/>
      <c r="D58" s="49"/>
      <c r="E58" s="49"/>
      <c r="F58" s="49"/>
      <c r="G58" s="49"/>
      <c r="H58" s="49"/>
      <c r="I58" s="49"/>
      <c r="J58" s="48"/>
      <c r="K58" s="49"/>
      <c r="L58" s="49"/>
      <c r="M58" s="49"/>
    </row>
    <row r="59" spans="1:13" ht="12.75">
      <c r="A59" s="49" t="s">
        <v>17</v>
      </c>
      <c r="B59" s="49"/>
      <c r="C59" s="49"/>
      <c r="D59" s="49"/>
      <c r="E59" s="49"/>
      <c r="F59" s="49"/>
      <c r="G59" s="49"/>
      <c r="H59" s="49"/>
      <c r="I59" s="49"/>
      <c r="J59" s="48"/>
      <c r="K59" s="49"/>
      <c r="L59" s="49"/>
      <c r="M59" s="49"/>
    </row>
    <row r="60" spans="1:13" ht="12.75">
      <c r="A60" s="49" t="s">
        <v>18</v>
      </c>
      <c r="B60" s="49"/>
      <c r="C60" s="49"/>
      <c r="D60" s="49"/>
      <c r="E60" s="49"/>
      <c r="F60" s="49"/>
      <c r="G60" s="49"/>
      <c r="H60" s="49"/>
      <c r="I60" s="49"/>
      <c r="J60" s="48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8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7" t="s">
        <v>19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 t="s">
        <v>18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M70" s="49"/>
    </row>
    <row r="71" spans="1:13" ht="12.75">
      <c r="A71" s="49"/>
      <c r="M71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A1" sqref="A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06" t="s">
        <v>141</v>
      </c>
      <c r="Q1" s="110" t="s">
        <v>148</v>
      </c>
    </row>
    <row r="2" ht="12.75">
      <c r="A2" s="106" t="s">
        <v>142</v>
      </c>
    </row>
    <row r="3" spans="1:17" ht="18">
      <c r="A3" s="184" t="s">
        <v>256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6" ht="12.75">
      <c r="A4" s="185" t="s">
        <v>91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2.75">
      <c r="A6" s="68"/>
      <c r="B6" s="68" t="s">
        <v>59</v>
      </c>
      <c r="C6" s="68" t="s">
        <v>39</v>
      </c>
      <c r="D6" s="68" t="s">
        <v>42</v>
      </c>
      <c r="E6" s="87" t="s">
        <v>43</v>
      </c>
      <c r="F6" s="114" t="s">
        <v>44</v>
      </c>
      <c r="G6" s="68" t="s">
        <v>47</v>
      </c>
      <c r="H6" s="68" t="s">
        <v>50</v>
      </c>
      <c r="I6" s="114" t="s">
        <v>44</v>
      </c>
      <c r="J6" s="68" t="s">
        <v>225</v>
      </c>
      <c r="K6" s="114" t="s">
        <v>226</v>
      </c>
      <c r="L6" s="68" t="s">
        <v>43</v>
      </c>
      <c r="M6" s="114" t="s">
        <v>44</v>
      </c>
      <c r="N6" s="68"/>
      <c r="O6" s="114" t="s">
        <v>44</v>
      </c>
      <c r="P6" s="88"/>
      <c r="Q6" s="68" t="s">
        <v>127</v>
      </c>
    </row>
    <row r="7" spans="1:17" ht="12.75">
      <c r="A7" s="71" t="s">
        <v>20</v>
      </c>
      <c r="B7" s="71" t="s">
        <v>57</v>
      </c>
      <c r="C7" s="71" t="s">
        <v>40</v>
      </c>
      <c r="D7" s="71" t="s">
        <v>227</v>
      </c>
      <c r="E7" s="66" t="s">
        <v>231</v>
      </c>
      <c r="F7" s="151" t="s">
        <v>45</v>
      </c>
      <c r="G7" s="71" t="s">
        <v>48</v>
      </c>
      <c r="H7" s="71" t="s">
        <v>51</v>
      </c>
      <c r="I7" s="151" t="s">
        <v>45</v>
      </c>
      <c r="J7" s="71" t="s">
        <v>98</v>
      </c>
      <c r="K7" s="151" t="s">
        <v>228</v>
      </c>
      <c r="L7" s="71" t="s">
        <v>54</v>
      </c>
      <c r="M7" s="151" t="s">
        <v>55</v>
      </c>
      <c r="N7" s="71" t="s">
        <v>94</v>
      </c>
      <c r="O7" s="151" t="s">
        <v>4</v>
      </c>
      <c r="P7" s="88"/>
      <c r="Q7" s="71" t="s">
        <v>128</v>
      </c>
    </row>
    <row r="8" spans="1:17" ht="12.75">
      <c r="A8" s="73"/>
      <c r="B8" s="73" t="s">
        <v>58</v>
      </c>
      <c r="C8" s="73"/>
      <c r="D8" s="73" t="s">
        <v>41</v>
      </c>
      <c r="E8" s="74" t="s">
        <v>232</v>
      </c>
      <c r="F8" s="152" t="s">
        <v>46</v>
      </c>
      <c r="G8" s="73" t="s">
        <v>45</v>
      </c>
      <c r="H8" s="73"/>
      <c r="I8" s="152" t="s">
        <v>52</v>
      </c>
      <c r="J8" s="73" t="s">
        <v>229</v>
      </c>
      <c r="K8" s="152" t="s">
        <v>230</v>
      </c>
      <c r="L8" s="73" t="s">
        <v>53</v>
      </c>
      <c r="M8" s="152" t="s">
        <v>56</v>
      </c>
      <c r="N8" s="73"/>
      <c r="O8" s="152"/>
      <c r="P8" s="88"/>
      <c r="Q8" s="73" t="s">
        <v>129</v>
      </c>
    </row>
    <row r="9" spans="3:15" ht="12.75">
      <c r="C9" s="76"/>
      <c r="D9" s="76"/>
      <c r="E9" s="76"/>
      <c r="F9" s="89"/>
      <c r="G9" s="76"/>
      <c r="H9" s="76"/>
      <c r="I9" s="89"/>
      <c r="J9" s="76"/>
      <c r="K9" s="89"/>
      <c r="L9" s="76"/>
      <c r="M9" s="89"/>
      <c r="N9" s="89"/>
      <c r="O9" s="63"/>
    </row>
    <row r="10" spans="1:17" ht="12.75">
      <c r="A10" s="77" t="s">
        <v>16</v>
      </c>
      <c r="B10" s="78">
        <v>1148500.6814</v>
      </c>
      <c r="C10" s="78">
        <v>286624.2992</v>
      </c>
      <c r="D10" s="78">
        <v>96951.4698</v>
      </c>
      <c r="E10" s="78">
        <v>-16521.4598</v>
      </c>
      <c r="F10" s="94">
        <v>1515554.9906</v>
      </c>
      <c r="G10" s="78">
        <v>735787.5906</v>
      </c>
      <c r="H10" s="78">
        <v>234659.8568</v>
      </c>
      <c r="I10" s="94">
        <v>545107.5432</v>
      </c>
      <c r="J10" s="78">
        <v>100502.8319</v>
      </c>
      <c r="K10" s="94">
        <v>645610.375399999</v>
      </c>
      <c r="L10" s="78">
        <v>-26163.5161</v>
      </c>
      <c r="M10" s="94">
        <v>619446.8591</v>
      </c>
      <c r="N10" s="78">
        <v>76787.1948</v>
      </c>
      <c r="O10" s="94">
        <v>542659.6642</v>
      </c>
      <c r="P10" s="88"/>
      <c r="Q10" s="78">
        <v>274602.5537</v>
      </c>
    </row>
    <row r="11" spans="1:17" ht="12.75">
      <c r="A11" s="80" t="s">
        <v>28</v>
      </c>
      <c r="B11" s="80">
        <v>8733.3348</v>
      </c>
      <c r="C11" s="80">
        <v>3626.8907</v>
      </c>
      <c r="D11" s="80">
        <v>124.8191</v>
      </c>
      <c r="E11" s="80">
        <v>-2183.94030000006</v>
      </c>
      <c r="F11" s="90">
        <v>10301.1042999999</v>
      </c>
      <c r="G11" s="80">
        <v>7638.7432</v>
      </c>
      <c r="H11" s="80">
        <v>123.2033</v>
      </c>
      <c r="I11" s="90">
        <v>2539.15779999994</v>
      </c>
      <c r="J11" s="80">
        <v>19.8051</v>
      </c>
      <c r="K11" s="90">
        <v>2558.96289999995</v>
      </c>
      <c r="L11" s="80">
        <v>121.0294</v>
      </c>
      <c r="M11" s="90">
        <v>2679.9923</v>
      </c>
      <c r="N11" s="80">
        <v>452.4391</v>
      </c>
      <c r="O11" s="90">
        <v>2227.5532</v>
      </c>
      <c r="Q11" s="80">
        <v>308.7319</v>
      </c>
    </row>
    <row r="12" spans="1:17" ht="12.75">
      <c r="A12" s="81" t="s">
        <v>25</v>
      </c>
      <c r="B12" s="81">
        <v>75711.2002</v>
      </c>
      <c r="C12" s="81">
        <v>23626.2305</v>
      </c>
      <c r="D12" s="81">
        <v>13486.4344</v>
      </c>
      <c r="E12" s="81">
        <v>-3051.20080000005</v>
      </c>
      <c r="F12" s="91">
        <v>109772.6643</v>
      </c>
      <c r="G12" s="81">
        <v>61804.5929</v>
      </c>
      <c r="H12" s="81">
        <v>25024.2383</v>
      </c>
      <c r="I12" s="91">
        <v>22943.8331</v>
      </c>
      <c r="J12" s="81">
        <v>5071.211</v>
      </c>
      <c r="K12" s="91">
        <v>28015.0444</v>
      </c>
      <c r="L12" s="81">
        <v>3316.0402</v>
      </c>
      <c r="M12" s="91">
        <v>31331.0844</v>
      </c>
      <c r="N12" s="81">
        <v>3941.0591</v>
      </c>
      <c r="O12" s="91">
        <v>27390.0252</v>
      </c>
      <c r="Q12" s="81">
        <v>35634.2151</v>
      </c>
    </row>
    <row r="13" spans="1:17" ht="12.75">
      <c r="A13" s="81" t="s">
        <v>5</v>
      </c>
      <c r="B13" s="81">
        <v>25101.6374</v>
      </c>
      <c r="C13" s="81">
        <v>5768.8455</v>
      </c>
      <c r="D13" s="81">
        <v>322.2038</v>
      </c>
      <c r="E13" s="81">
        <v>798.265299999975</v>
      </c>
      <c r="F13" s="91">
        <v>31990.9519999999</v>
      </c>
      <c r="G13" s="81">
        <v>18935.3848</v>
      </c>
      <c r="H13" s="81">
        <v>1603.1891</v>
      </c>
      <c r="I13" s="91">
        <v>11452.3780999999</v>
      </c>
      <c r="J13" s="81">
        <v>5396.9487</v>
      </c>
      <c r="K13" s="91">
        <v>16849.327</v>
      </c>
      <c r="L13" s="81">
        <v>152.069</v>
      </c>
      <c r="M13" s="91">
        <v>17001.3959</v>
      </c>
      <c r="N13" s="81">
        <v>1827.5927</v>
      </c>
      <c r="O13" s="91">
        <v>15173.8032</v>
      </c>
      <c r="Q13" s="81">
        <v>1432.7666</v>
      </c>
    </row>
    <row r="14" spans="1:17" ht="12.75">
      <c r="A14" s="81" t="s">
        <v>6</v>
      </c>
      <c r="B14" s="81">
        <v>79814.7542</v>
      </c>
      <c r="C14" s="81">
        <v>12831.6051</v>
      </c>
      <c r="D14" s="81">
        <v>6639.1132</v>
      </c>
      <c r="E14" s="81">
        <v>196.528599999966</v>
      </c>
      <c r="F14" s="91">
        <v>99482.0012</v>
      </c>
      <c r="G14" s="81">
        <v>40224.518</v>
      </c>
      <c r="H14" s="81">
        <v>17730.2691</v>
      </c>
      <c r="I14" s="91">
        <v>41527.2141</v>
      </c>
      <c r="J14" s="81">
        <v>6761.115</v>
      </c>
      <c r="K14" s="91">
        <v>48288.3294</v>
      </c>
      <c r="L14" s="81">
        <v>-1081.1654</v>
      </c>
      <c r="M14" s="91">
        <v>47207.1639</v>
      </c>
      <c r="N14" s="81">
        <v>7381.7605</v>
      </c>
      <c r="O14" s="91">
        <v>39825.4033</v>
      </c>
      <c r="Q14" s="81">
        <v>11714.6829</v>
      </c>
    </row>
    <row r="15" spans="1:17" ht="12.75">
      <c r="A15" s="81" t="s">
        <v>7</v>
      </c>
      <c r="B15" s="81">
        <v>244608.3924</v>
      </c>
      <c r="C15" s="81">
        <v>70871.1313</v>
      </c>
      <c r="D15" s="81">
        <v>25027.6578</v>
      </c>
      <c r="E15" s="81">
        <v>-4126.01320000003</v>
      </c>
      <c r="F15" s="91">
        <v>336381.1684</v>
      </c>
      <c r="G15" s="81">
        <v>160883.6991</v>
      </c>
      <c r="H15" s="81">
        <v>37300.4151</v>
      </c>
      <c r="I15" s="91">
        <v>138197.0542</v>
      </c>
      <c r="J15" s="81">
        <v>16439.994</v>
      </c>
      <c r="K15" s="91">
        <v>154637.0485</v>
      </c>
      <c r="L15" s="81">
        <v>-1654.0134</v>
      </c>
      <c r="M15" s="91">
        <v>152983.0349</v>
      </c>
      <c r="N15" s="81">
        <v>11582.1858</v>
      </c>
      <c r="O15" s="91">
        <v>141400.849</v>
      </c>
      <c r="Q15" s="81">
        <v>52554.6073</v>
      </c>
    </row>
    <row r="16" spans="1:17" ht="12.75">
      <c r="A16" s="81" t="s">
        <v>244</v>
      </c>
      <c r="B16" s="81">
        <v>158813.2737</v>
      </c>
      <c r="C16" s="81">
        <v>41256.6561</v>
      </c>
      <c r="D16" s="81">
        <v>10130.3558</v>
      </c>
      <c r="E16" s="81">
        <v>2612.3355</v>
      </c>
      <c r="F16" s="91">
        <v>212812.6211</v>
      </c>
      <c r="G16" s="81">
        <v>107213.9376</v>
      </c>
      <c r="H16" s="81">
        <v>26189.6429</v>
      </c>
      <c r="I16" s="91">
        <v>79409.0406</v>
      </c>
      <c r="J16" s="81">
        <v>21056.7515</v>
      </c>
      <c r="K16" s="91">
        <v>100465.7924</v>
      </c>
      <c r="L16" s="81">
        <v>-5307.87849999999</v>
      </c>
      <c r="M16" s="91">
        <v>95157.9137</v>
      </c>
      <c r="N16" s="81">
        <v>12931.0955</v>
      </c>
      <c r="O16" s="91">
        <v>82226.8182</v>
      </c>
      <c r="Q16" s="81">
        <v>32817.8346</v>
      </c>
    </row>
    <row r="17" spans="1:17" ht="12.75">
      <c r="A17" s="81" t="s">
        <v>8</v>
      </c>
      <c r="B17" s="81">
        <v>50560.4111</v>
      </c>
      <c r="C17" s="81">
        <v>14271.2951</v>
      </c>
      <c r="D17" s="81">
        <v>4612.2708</v>
      </c>
      <c r="E17" s="81">
        <v>-900.394100000034</v>
      </c>
      <c r="F17" s="91">
        <v>68543.5828</v>
      </c>
      <c r="G17" s="81">
        <v>35122.2362</v>
      </c>
      <c r="H17" s="81">
        <v>16883.2827</v>
      </c>
      <c r="I17" s="91">
        <v>16538.0639</v>
      </c>
      <c r="J17" s="81">
        <v>1421.2346</v>
      </c>
      <c r="K17" s="91">
        <v>17959.2987</v>
      </c>
      <c r="L17" s="81">
        <v>-1480.72030000004</v>
      </c>
      <c r="M17" s="91">
        <v>16478.5782</v>
      </c>
      <c r="N17" s="81">
        <v>2184.0959</v>
      </c>
      <c r="O17" s="91">
        <v>14294.4822</v>
      </c>
      <c r="Q17" s="81">
        <v>10579.0878</v>
      </c>
    </row>
    <row r="18" spans="1:17" ht="12.75">
      <c r="A18" s="81" t="s">
        <v>31</v>
      </c>
      <c r="B18" s="81">
        <v>96.2009999999891</v>
      </c>
      <c r="C18" s="81">
        <v>-161.87930000003</v>
      </c>
      <c r="D18" s="81">
        <v>0</v>
      </c>
      <c r="E18" s="81">
        <v>5582.3581</v>
      </c>
      <c r="F18" s="91">
        <v>5516.67979999996</v>
      </c>
      <c r="G18" s="81">
        <v>3293.7301</v>
      </c>
      <c r="H18" s="81">
        <v>0.1187</v>
      </c>
      <c r="I18" s="91">
        <v>2222.83099999996</v>
      </c>
      <c r="J18" s="81">
        <v>0</v>
      </c>
      <c r="K18" s="91">
        <v>2222.83100000004</v>
      </c>
      <c r="L18" s="81">
        <v>1.0647</v>
      </c>
      <c r="M18" s="91">
        <v>2223.8954</v>
      </c>
      <c r="N18" s="81">
        <v>301.9427</v>
      </c>
      <c r="O18" s="91">
        <v>1921.9526</v>
      </c>
      <c r="Q18" s="81">
        <v>0</v>
      </c>
    </row>
    <row r="19" spans="1:17" ht="12.75">
      <c r="A19" s="81" t="s">
        <v>11</v>
      </c>
      <c r="B19" s="81">
        <v>27616.3342</v>
      </c>
      <c r="C19" s="81">
        <v>5083.2082</v>
      </c>
      <c r="D19" s="81">
        <v>1150.466</v>
      </c>
      <c r="E19" s="81">
        <v>-984.086000000003</v>
      </c>
      <c r="F19" s="91">
        <v>32865.9225</v>
      </c>
      <c r="G19" s="81">
        <v>14058.3543</v>
      </c>
      <c r="H19" s="81">
        <v>7062.6515</v>
      </c>
      <c r="I19" s="91">
        <v>11744.9167</v>
      </c>
      <c r="J19" s="81">
        <v>7.1162</v>
      </c>
      <c r="K19" s="91">
        <v>11752.0331</v>
      </c>
      <c r="L19" s="81">
        <v>152.3384</v>
      </c>
      <c r="M19" s="91">
        <v>11904.3713</v>
      </c>
      <c r="N19" s="81">
        <v>2047.3958</v>
      </c>
      <c r="O19" s="91">
        <v>9856.9755</v>
      </c>
      <c r="Q19" s="81">
        <v>6044.1711</v>
      </c>
    </row>
    <row r="20" spans="1:17" ht="12.75">
      <c r="A20" s="81" t="s">
        <v>24</v>
      </c>
      <c r="B20" s="81">
        <v>4817.9388</v>
      </c>
      <c r="C20" s="81">
        <v>350.6217</v>
      </c>
      <c r="D20" s="81">
        <v>325.8287</v>
      </c>
      <c r="E20" s="81">
        <v>921.652699999976</v>
      </c>
      <c r="F20" s="91">
        <v>6416.04189999998</v>
      </c>
      <c r="G20" s="81">
        <v>5278.676</v>
      </c>
      <c r="H20" s="81">
        <v>718.1009</v>
      </c>
      <c r="I20" s="91">
        <v>419.264999999976</v>
      </c>
      <c r="J20" s="81">
        <v>-3.89530000003288</v>
      </c>
      <c r="K20" s="91">
        <v>415.369899999943</v>
      </c>
      <c r="L20" s="81">
        <v>-2.37820000003558</v>
      </c>
      <c r="M20" s="91">
        <v>412.9914</v>
      </c>
      <c r="N20" s="81">
        <v>-41.7430000000168</v>
      </c>
      <c r="O20" s="91">
        <v>454.7345</v>
      </c>
      <c r="Q20" s="81">
        <v>1031.2308</v>
      </c>
    </row>
    <row r="21" spans="1:17" ht="12.75">
      <c r="A21" s="81" t="s">
        <v>29</v>
      </c>
      <c r="B21" s="81">
        <v>2658.1963</v>
      </c>
      <c r="C21" s="81">
        <v>242.018</v>
      </c>
      <c r="D21" s="81">
        <v>0</v>
      </c>
      <c r="E21" s="81">
        <v>-183.291500000024</v>
      </c>
      <c r="F21" s="91">
        <v>2716.92289999995</v>
      </c>
      <c r="G21" s="81">
        <v>5020.9754</v>
      </c>
      <c r="H21" s="81">
        <v>-409.918400000024</v>
      </c>
      <c r="I21" s="91">
        <v>-1894.13410000002</v>
      </c>
      <c r="J21" s="81">
        <v>2.4969</v>
      </c>
      <c r="K21" s="91">
        <v>-1891.63719999991</v>
      </c>
      <c r="L21" s="81">
        <v>44.6315</v>
      </c>
      <c r="M21" s="91">
        <v>-1847.00560000003</v>
      </c>
      <c r="N21" s="81">
        <v>-326.443000000028</v>
      </c>
      <c r="O21" s="91">
        <v>-1520.5626</v>
      </c>
      <c r="Q21" s="81">
        <v>0</v>
      </c>
    </row>
    <row r="22" spans="1:17" ht="12.75">
      <c r="A22" s="81" t="s">
        <v>9</v>
      </c>
      <c r="B22" s="81">
        <v>6538.9051</v>
      </c>
      <c r="C22" s="81">
        <v>796.7169</v>
      </c>
      <c r="D22" s="81">
        <v>86.066</v>
      </c>
      <c r="E22" s="81">
        <v>-116.733000000044</v>
      </c>
      <c r="F22" s="91">
        <v>7304.95509999991</v>
      </c>
      <c r="G22" s="81">
        <v>5232.3147</v>
      </c>
      <c r="H22" s="81">
        <v>510.2044</v>
      </c>
      <c r="I22" s="91">
        <v>1562.43599999991</v>
      </c>
      <c r="J22" s="81">
        <v>34.3952</v>
      </c>
      <c r="K22" s="91">
        <v>1596.83129999996</v>
      </c>
      <c r="L22" s="81">
        <v>-14.6457999999984</v>
      </c>
      <c r="M22" s="91">
        <v>1582.1853</v>
      </c>
      <c r="N22" s="81">
        <v>74.1919</v>
      </c>
      <c r="O22" s="91">
        <v>1507.9934</v>
      </c>
      <c r="Q22" s="81">
        <v>141.5041</v>
      </c>
    </row>
    <row r="23" spans="1:17" ht="12.75">
      <c r="A23" s="81" t="s">
        <v>26</v>
      </c>
      <c r="B23" s="81">
        <v>1104.409</v>
      </c>
      <c r="C23" s="81">
        <v>40.7325</v>
      </c>
      <c r="D23" s="81">
        <v>0</v>
      </c>
      <c r="E23" s="81">
        <v>-79.2302000000191</v>
      </c>
      <c r="F23" s="91">
        <v>1065.91129999998</v>
      </c>
      <c r="G23" s="81">
        <v>1287.6479</v>
      </c>
      <c r="H23" s="81">
        <v>15.5122</v>
      </c>
      <c r="I23" s="91">
        <v>-237.248800000019</v>
      </c>
      <c r="J23" s="81">
        <v>148.5226</v>
      </c>
      <c r="K23" s="91">
        <v>-88.7260000000197</v>
      </c>
      <c r="L23" s="81">
        <v>123.4308</v>
      </c>
      <c r="M23" s="91">
        <v>34.7046</v>
      </c>
      <c r="N23" s="81">
        <v>6.9529</v>
      </c>
      <c r="O23" s="91">
        <v>27.7516</v>
      </c>
      <c r="Q23" s="81">
        <v>0</v>
      </c>
    </row>
    <row r="24" spans="1:17" ht="12.75">
      <c r="A24" s="81" t="s">
        <v>252</v>
      </c>
      <c r="B24" s="81">
        <v>13632.1333</v>
      </c>
      <c r="C24" s="81">
        <v>4951.0936</v>
      </c>
      <c r="D24" s="81">
        <v>460.1107</v>
      </c>
      <c r="E24" s="81">
        <v>-195.598500000008</v>
      </c>
      <c r="F24" s="91">
        <v>18847.7391</v>
      </c>
      <c r="G24" s="81">
        <v>9919.7751</v>
      </c>
      <c r="H24" s="81">
        <v>5203.4436</v>
      </c>
      <c r="I24" s="91">
        <v>3724.52039999999</v>
      </c>
      <c r="J24" s="81">
        <v>0</v>
      </c>
      <c r="K24" s="91">
        <v>3724.52039999999</v>
      </c>
      <c r="L24" s="81">
        <v>190.7677</v>
      </c>
      <c r="M24" s="91">
        <v>3915.2879</v>
      </c>
      <c r="N24" s="81">
        <v>666.8198</v>
      </c>
      <c r="O24" s="91">
        <v>3248.4681</v>
      </c>
      <c r="Q24" s="81">
        <v>4951.6431</v>
      </c>
    </row>
    <row r="25" spans="1:17" ht="12.75">
      <c r="A25" s="81" t="s">
        <v>30</v>
      </c>
      <c r="B25" s="81">
        <v>296.8686</v>
      </c>
      <c r="C25" s="81">
        <v>1250.7426</v>
      </c>
      <c r="D25" s="81">
        <v>0</v>
      </c>
      <c r="E25" s="81">
        <v>-40.7742999999934</v>
      </c>
      <c r="F25" s="91">
        <v>1506.83699999999</v>
      </c>
      <c r="G25" s="81">
        <v>5908.2631</v>
      </c>
      <c r="H25" s="81">
        <v>0</v>
      </c>
      <c r="I25" s="91">
        <v>-4401.42610000001</v>
      </c>
      <c r="J25" s="81">
        <v>777.3034</v>
      </c>
      <c r="K25" s="91">
        <v>-3624.12259999999</v>
      </c>
      <c r="L25" s="81">
        <v>21.2373</v>
      </c>
      <c r="M25" s="91">
        <v>-3602.88520000002</v>
      </c>
      <c r="N25" s="81">
        <v>-745.576000000001</v>
      </c>
      <c r="O25" s="91">
        <v>-2857.30910000001</v>
      </c>
      <c r="Q25" s="81">
        <v>0</v>
      </c>
    </row>
    <row r="26" spans="1:17" ht="12.75">
      <c r="A26" s="81" t="s">
        <v>22</v>
      </c>
      <c r="B26" s="81">
        <v>11604.6292</v>
      </c>
      <c r="C26" s="81">
        <v>2255.5517</v>
      </c>
      <c r="D26" s="81">
        <v>0.0125</v>
      </c>
      <c r="E26" s="81">
        <v>299.851799999959</v>
      </c>
      <c r="F26" s="91">
        <v>14160.0451</v>
      </c>
      <c r="G26" s="81">
        <v>9789.777</v>
      </c>
      <c r="H26" s="81">
        <v>3104.3335</v>
      </c>
      <c r="I26" s="91">
        <v>1265.93459999997</v>
      </c>
      <c r="J26" s="81">
        <v>252.6458</v>
      </c>
      <c r="K26" s="91">
        <v>1518.58069999996</v>
      </c>
      <c r="L26" s="81">
        <v>196.989</v>
      </c>
      <c r="M26" s="91">
        <v>1715.5696</v>
      </c>
      <c r="N26" s="81">
        <v>90</v>
      </c>
      <c r="O26" s="91">
        <v>1625.5696</v>
      </c>
      <c r="Q26" s="81">
        <v>3661.1193</v>
      </c>
    </row>
    <row r="27" spans="1:17" ht="12.75">
      <c r="A27" s="81" t="s">
        <v>10</v>
      </c>
      <c r="B27" s="81">
        <v>371296.3387</v>
      </c>
      <c r="C27" s="81">
        <v>85279.0846</v>
      </c>
      <c r="D27" s="81">
        <v>31883.1271</v>
      </c>
      <c r="E27" s="81">
        <v>-12142.1982</v>
      </c>
      <c r="F27" s="91">
        <v>476316.3522</v>
      </c>
      <c r="G27" s="81">
        <v>196491.5633</v>
      </c>
      <c r="H27" s="81">
        <v>79013.5089</v>
      </c>
      <c r="I27" s="91">
        <v>200811.28</v>
      </c>
      <c r="J27" s="81">
        <v>35312.7035</v>
      </c>
      <c r="K27" s="91">
        <v>236123.9836</v>
      </c>
      <c r="L27" s="81">
        <v>-21841.4605</v>
      </c>
      <c r="M27" s="91">
        <v>214282.5229</v>
      </c>
      <c r="N27" s="81">
        <v>31788.5165</v>
      </c>
      <c r="O27" s="91">
        <v>182494.0063</v>
      </c>
      <c r="Q27" s="81">
        <v>102108.372</v>
      </c>
    </row>
    <row r="28" spans="1:17" ht="12.75">
      <c r="A28" s="81" t="s">
        <v>32</v>
      </c>
      <c r="B28" s="81">
        <v>32792.1927</v>
      </c>
      <c r="C28" s="81">
        <v>5021.6627</v>
      </c>
      <c r="D28" s="81">
        <v>625.8037</v>
      </c>
      <c r="E28" s="81">
        <v>230.407199999989</v>
      </c>
      <c r="F28" s="91">
        <v>38670.0663999999</v>
      </c>
      <c r="G28" s="81">
        <v>19046.5793</v>
      </c>
      <c r="H28" s="81">
        <v>5454.1879</v>
      </c>
      <c r="I28" s="91">
        <v>14169.2991999999</v>
      </c>
      <c r="J28" s="81">
        <v>4158.8441</v>
      </c>
      <c r="K28" s="91">
        <v>18328.1434</v>
      </c>
      <c r="L28" s="81">
        <v>-474.492300000042</v>
      </c>
      <c r="M28" s="91">
        <v>17853.6509</v>
      </c>
      <c r="N28" s="81">
        <v>2015</v>
      </c>
      <c r="O28" s="91">
        <v>15838.6509</v>
      </c>
      <c r="Q28" s="81">
        <v>4758.4527</v>
      </c>
    </row>
    <row r="29" spans="1:17" ht="12.75">
      <c r="A29" s="82" t="s">
        <v>21</v>
      </c>
      <c r="B29" s="82">
        <v>32703.5301</v>
      </c>
      <c r="C29" s="82">
        <v>9262.0907</v>
      </c>
      <c r="D29" s="82">
        <v>2077.1993</v>
      </c>
      <c r="E29" s="82">
        <v>-3159.3987</v>
      </c>
      <c r="F29" s="92">
        <v>40883.4215</v>
      </c>
      <c r="G29" s="82">
        <v>28636.8216</v>
      </c>
      <c r="H29" s="82">
        <v>9133.4723</v>
      </c>
      <c r="I29" s="92">
        <v>3113.12759999997</v>
      </c>
      <c r="J29" s="82">
        <v>3645.6392</v>
      </c>
      <c r="K29" s="92">
        <v>6758.767</v>
      </c>
      <c r="L29" s="82">
        <v>1373.64</v>
      </c>
      <c r="M29" s="92">
        <v>8132.4068</v>
      </c>
      <c r="N29" s="82">
        <v>609.9081</v>
      </c>
      <c r="O29" s="92">
        <v>7522.4986</v>
      </c>
      <c r="Q29" s="82">
        <v>6864.1335</v>
      </c>
    </row>
    <row r="30" spans="6:15" ht="12.75">
      <c r="F30" s="63"/>
      <c r="I30" s="63"/>
      <c r="K30" s="63"/>
      <c r="M30" s="63"/>
      <c r="O30" s="63"/>
    </row>
    <row r="31" spans="1:17" ht="12.75">
      <c r="A31" s="78" t="s">
        <v>138</v>
      </c>
      <c r="B31" s="78">
        <v>179874.6287</v>
      </c>
      <c r="C31" s="78">
        <v>50671.3138</v>
      </c>
      <c r="D31" s="78">
        <v>16384.0114</v>
      </c>
      <c r="E31" s="78">
        <v>11245.7839</v>
      </c>
      <c r="F31" s="94">
        <v>258175.7378</v>
      </c>
      <c r="G31" s="78">
        <v>152756.6419</v>
      </c>
      <c r="H31" s="78">
        <v>34537.8539</v>
      </c>
      <c r="I31" s="94">
        <v>70881.242</v>
      </c>
      <c r="J31" s="78">
        <v>7146.2666</v>
      </c>
      <c r="K31" s="94">
        <v>78027.5088000001</v>
      </c>
      <c r="L31" s="78">
        <v>-7163.2683</v>
      </c>
      <c r="M31" s="94">
        <v>70864.2404</v>
      </c>
      <c r="N31" s="78">
        <v>37993.2623</v>
      </c>
      <c r="O31" s="94">
        <v>32870.978</v>
      </c>
      <c r="P31" s="79"/>
      <c r="Q31" s="78">
        <v>30032.0141</v>
      </c>
    </row>
    <row r="32" spans="1:17" ht="12.75">
      <c r="A32" s="79"/>
      <c r="B32" s="79"/>
      <c r="C32" s="79"/>
      <c r="D32" s="79"/>
      <c r="E32" s="79"/>
      <c r="F32" s="63"/>
      <c r="G32" s="79"/>
      <c r="H32" s="79"/>
      <c r="I32" s="63"/>
      <c r="J32" s="79"/>
      <c r="K32" s="63"/>
      <c r="L32" s="79"/>
      <c r="M32" s="63"/>
      <c r="N32" s="79"/>
      <c r="O32" s="63"/>
      <c r="P32" s="79"/>
      <c r="Q32" s="79"/>
    </row>
    <row r="33" spans="1:17" ht="12.75">
      <c r="A33" s="78" t="s">
        <v>23</v>
      </c>
      <c r="B33" s="78">
        <v>132404.3154</v>
      </c>
      <c r="C33" s="78">
        <v>21035.6497</v>
      </c>
      <c r="D33" s="78">
        <v>5956.8288</v>
      </c>
      <c r="E33" s="78">
        <v>-7397.12670000001</v>
      </c>
      <c r="F33" s="94">
        <v>151999.6672</v>
      </c>
      <c r="G33" s="78">
        <v>108861.8929</v>
      </c>
      <c r="H33" s="78">
        <v>13938.078</v>
      </c>
      <c r="I33" s="94">
        <v>29199.6963</v>
      </c>
      <c r="J33" s="78">
        <v>5301.0386</v>
      </c>
      <c r="K33" s="94">
        <v>34500.735</v>
      </c>
      <c r="L33" s="78">
        <v>3274.8281</v>
      </c>
      <c r="M33" s="94">
        <v>37775.5631</v>
      </c>
      <c r="N33" s="78">
        <v>3696.0844</v>
      </c>
      <c r="O33" s="94">
        <v>34079.4786</v>
      </c>
      <c r="P33" s="79"/>
      <c r="Q33" s="78">
        <v>19745.0015</v>
      </c>
    </row>
    <row r="34" spans="1:17" ht="12.75">
      <c r="A34" s="81" t="s">
        <v>34</v>
      </c>
      <c r="B34" s="80">
        <v>33301.7223</v>
      </c>
      <c r="C34" s="81">
        <v>7526.9333</v>
      </c>
      <c r="D34" s="81">
        <v>1032.255</v>
      </c>
      <c r="E34" s="81">
        <v>-494.186200000038</v>
      </c>
      <c r="F34" s="91">
        <v>41366.7243999999</v>
      </c>
      <c r="G34" s="81">
        <v>30978.2106</v>
      </c>
      <c r="H34" s="81">
        <v>6858.8858</v>
      </c>
      <c r="I34" s="91">
        <v>3529.62799999994</v>
      </c>
      <c r="J34" s="81">
        <v>1363.9926</v>
      </c>
      <c r="K34" s="91">
        <v>4893.62059999995</v>
      </c>
      <c r="L34" s="81">
        <v>907.4629</v>
      </c>
      <c r="M34" s="91">
        <v>5801.0834</v>
      </c>
      <c r="N34" s="81">
        <v>797.5464</v>
      </c>
      <c r="O34" s="90">
        <v>5003.537</v>
      </c>
      <c r="Q34" s="80">
        <v>10759.6995</v>
      </c>
    </row>
    <row r="35" spans="1:17" ht="12.75">
      <c r="A35" s="81" t="s">
        <v>12</v>
      </c>
      <c r="B35" s="81">
        <v>67637.3314</v>
      </c>
      <c r="C35" s="81">
        <v>13306.8358</v>
      </c>
      <c r="D35" s="81">
        <v>4660.7472</v>
      </c>
      <c r="E35" s="81">
        <v>-4451.83970000004</v>
      </c>
      <c r="F35" s="91">
        <v>81153.0747</v>
      </c>
      <c r="G35" s="81">
        <v>70756.9431</v>
      </c>
      <c r="H35" s="81">
        <v>6934.561</v>
      </c>
      <c r="I35" s="91">
        <v>3461.57059999996</v>
      </c>
      <c r="J35" s="81">
        <v>3937.046</v>
      </c>
      <c r="K35" s="91">
        <v>7398.61679999996</v>
      </c>
      <c r="L35" s="81">
        <v>2067.4758</v>
      </c>
      <c r="M35" s="91">
        <v>9466.0924</v>
      </c>
      <c r="N35" s="81">
        <v>283.2889</v>
      </c>
      <c r="O35" s="91">
        <v>9182.8035</v>
      </c>
      <c r="Q35" s="81">
        <v>8882.6437</v>
      </c>
    </row>
    <row r="36" spans="1:17" ht="12.75">
      <c r="A36" s="81" t="s">
        <v>14</v>
      </c>
      <c r="B36" s="81">
        <v>121.690100000004</v>
      </c>
      <c r="C36" s="81">
        <v>33.5677</v>
      </c>
      <c r="D36" s="81">
        <v>6.527</v>
      </c>
      <c r="E36" s="81">
        <v>-273.271600000031</v>
      </c>
      <c r="F36" s="91">
        <v>-111.486800000027</v>
      </c>
      <c r="G36" s="81">
        <v>504.2133</v>
      </c>
      <c r="H36" s="81">
        <v>79.5038</v>
      </c>
      <c r="I36" s="91">
        <v>-695.203900000027</v>
      </c>
      <c r="J36" s="81">
        <v>0</v>
      </c>
      <c r="K36" s="91">
        <v>-695.203700000031</v>
      </c>
      <c r="L36" s="81">
        <v>112.401</v>
      </c>
      <c r="M36" s="91">
        <v>-582.8027</v>
      </c>
      <c r="N36" s="81">
        <v>1.4373</v>
      </c>
      <c r="O36" s="91">
        <v>-584.240000000049</v>
      </c>
      <c r="Q36" s="81">
        <v>102.6583</v>
      </c>
    </row>
    <row r="37" spans="1:17" ht="12.75">
      <c r="A37" s="81" t="s">
        <v>13</v>
      </c>
      <c r="B37" s="81">
        <v>898.5186</v>
      </c>
      <c r="C37" s="81">
        <v>44.9216</v>
      </c>
      <c r="D37" s="81">
        <v>257.2995</v>
      </c>
      <c r="E37" s="81">
        <v>-465.972099999993</v>
      </c>
      <c r="F37" s="91">
        <v>734.767600000007</v>
      </c>
      <c r="G37" s="81">
        <v>1303.1141</v>
      </c>
      <c r="H37" s="81">
        <v>-9.51130000001285</v>
      </c>
      <c r="I37" s="91">
        <v>-558.83519999998</v>
      </c>
      <c r="J37" s="81">
        <v>0</v>
      </c>
      <c r="K37" s="91">
        <v>-558.834999999952</v>
      </c>
      <c r="L37" s="81">
        <v>31.6065</v>
      </c>
      <c r="M37" s="91">
        <v>-527.228500000027</v>
      </c>
      <c r="N37" s="81">
        <v>-0.131600000022445</v>
      </c>
      <c r="O37" s="91">
        <v>-527.096799999999</v>
      </c>
      <c r="Q37" s="81">
        <v>0</v>
      </c>
    </row>
    <row r="38" spans="1:17" ht="12.75">
      <c r="A38" s="81" t="s">
        <v>35</v>
      </c>
      <c r="B38" s="81">
        <v>924.1913</v>
      </c>
      <c r="C38" s="81">
        <v>106.7155</v>
      </c>
      <c r="D38" s="81">
        <v>0</v>
      </c>
      <c r="E38" s="81">
        <v>-328.024800000014</v>
      </c>
      <c r="F38" s="91">
        <v>702.881999999986</v>
      </c>
      <c r="G38" s="81">
        <v>902.1682</v>
      </c>
      <c r="H38" s="81">
        <v>-38.8000000000466</v>
      </c>
      <c r="I38" s="91">
        <v>-160.486199999967</v>
      </c>
      <c r="J38" s="81">
        <v>0</v>
      </c>
      <c r="K38" s="91">
        <v>-160.485999999961</v>
      </c>
      <c r="L38" s="81">
        <v>-17.1739999999991</v>
      </c>
      <c r="M38" s="91">
        <v>-177.660200000042</v>
      </c>
      <c r="N38" s="81">
        <v>0</v>
      </c>
      <c r="O38" s="91">
        <v>-177.660200000042</v>
      </c>
      <c r="Q38" s="81">
        <v>0</v>
      </c>
    </row>
    <row r="39" spans="1:17" ht="12.75">
      <c r="A39" s="82" t="s">
        <v>33</v>
      </c>
      <c r="B39" s="82">
        <v>29520.8616</v>
      </c>
      <c r="C39" s="82">
        <v>16.6755</v>
      </c>
      <c r="D39" s="82">
        <v>0</v>
      </c>
      <c r="E39" s="82">
        <v>-1383.83220000006</v>
      </c>
      <c r="F39" s="92">
        <v>28153.7049</v>
      </c>
      <c r="G39" s="82">
        <v>4417.2434</v>
      </c>
      <c r="H39" s="82">
        <v>113.4386</v>
      </c>
      <c r="I39" s="92">
        <v>23623.0229</v>
      </c>
      <c r="J39" s="82">
        <v>0</v>
      </c>
      <c r="K39" s="92">
        <v>23623.0231</v>
      </c>
      <c r="L39" s="82">
        <v>173.0558</v>
      </c>
      <c r="M39" s="92">
        <v>23796.0787</v>
      </c>
      <c r="N39" s="82">
        <v>2613.9434</v>
      </c>
      <c r="O39" s="92">
        <v>21182.1353</v>
      </c>
      <c r="Q39" s="82">
        <v>0</v>
      </c>
    </row>
    <row r="41" spans="1:17" ht="12.75">
      <c r="A41" s="77" t="s">
        <v>15</v>
      </c>
      <c r="B41" s="78">
        <v>1460779.6256</v>
      </c>
      <c r="C41" s="78">
        <v>358331.2628</v>
      </c>
      <c r="D41" s="78">
        <v>119292.3101</v>
      </c>
      <c r="E41" s="78">
        <v>-12672.8025</v>
      </c>
      <c r="F41" s="94">
        <v>1925730.3961</v>
      </c>
      <c r="G41" s="78">
        <v>997406.1256</v>
      </c>
      <c r="H41" s="78">
        <v>283135.7889</v>
      </c>
      <c r="I41" s="94">
        <v>645188.481600001</v>
      </c>
      <c r="J41" s="78">
        <v>112950.1372</v>
      </c>
      <c r="K41" s="94">
        <v>758138.619</v>
      </c>
      <c r="L41" s="78">
        <v>-30051.9562</v>
      </c>
      <c r="M41" s="94">
        <v>728086.6626</v>
      </c>
      <c r="N41" s="78">
        <v>118476.5416</v>
      </c>
      <c r="O41" s="94">
        <v>609610.121</v>
      </c>
      <c r="P41" s="45"/>
      <c r="Q41" s="78">
        <v>324379.5694</v>
      </c>
    </row>
    <row r="42" spans="1:17" ht="12.75">
      <c r="A42" s="85"/>
      <c r="B42" s="86"/>
      <c r="C42" s="86"/>
      <c r="D42" s="86"/>
      <c r="E42" s="86"/>
      <c r="F42" s="34"/>
      <c r="G42" s="86"/>
      <c r="H42" s="86"/>
      <c r="I42" s="34"/>
      <c r="J42" s="86"/>
      <c r="K42" s="34"/>
      <c r="L42" s="86"/>
      <c r="M42" s="34"/>
      <c r="N42" s="93"/>
      <c r="O42" s="34"/>
      <c r="P42" s="6"/>
      <c r="Q42" s="86"/>
    </row>
    <row r="43" ht="12.75">
      <c r="A43" s="45"/>
    </row>
    <row r="45" ht="12.75">
      <c r="A45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" sqref="A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06" t="s">
        <v>141</v>
      </c>
      <c r="L1" s="110" t="s">
        <v>148</v>
      </c>
    </row>
    <row r="2" spans="1:12" ht="12.75">
      <c r="A2" s="106" t="s">
        <v>142</v>
      </c>
      <c r="L2" s="110"/>
    </row>
    <row r="3" spans="1:12" ht="18">
      <c r="A3" s="184" t="s">
        <v>257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2.75">
      <c r="A4" s="185" t="s">
        <v>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>
      <c r="A6" s="68"/>
      <c r="B6" s="181" t="s">
        <v>245</v>
      </c>
      <c r="C6" s="182"/>
      <c r="D6" s="182"/>
      <c r="E6" s="182"/>
      <c r="F6" s="183"/>
      <c r="G6" s="181" t="s">
        <v>86</v>
      </c>
      <c r="H6" s="183"/>
      <c r="I6" s="181" t="s">
        <v>90</v>
      </c>
      <c r="J6" s="183"/>
      <c r="K6" s="181" t="s">
        <v>246</v>
      </c>
      <c r="L6" s="183"/>
    </row>
    <row r="7" spans="1:12" ht="12.75">
      <c r="A7" s="71" t="s">
        <v>20</v>
      </c>
      <c r="B7" s="181" t="s">
        <v>0</v>
      </c>
      <c r="C7" s="182"/>
      <c r="D7" s="182"/>
      <c r="E7" s="182"/>
      <c r="F7" s="183"/>
      <c r="G7" s="95" t="s">
        <v>88</v>
      </c>
      <c r="H7" s="96" t="s">
        <v>89</v>
      </c>
      <c r="I7" s="96" t="s">
        <v>107</v>
      </c>
      <c r="J7" s="96" t="s">
        <v>107</v>
      </c>
      <c r="K7" s="71" t="s">
        <v>108</v>
      </c>
      <c r="L7" s="71" t="s">
        <v>109</v>
      </c>
    </row>
    <row r="8" spans="1:12" ht="12.75">
      <c r="A8" s="73"/>
      <c r="B8" s="74" t="s">
        <v>96</v>
      </c>
      <c r="C8" s="73" t="s">
        <v>97</v>
      </c>
      <c r="D8" s="73" t="s">
        <v>95</v>
      </c>
      <c r="E8" s="73" t="s">
        <v>36</v>
      </c>
      <c r="F8" s="73" t="s">
        <v>106</v>
      </c>
      <c r="G8" s="74" t="s">
        <v>87</v>
      </c>
      <c r="H8" s="73" t="s">
        <v>87</v>
      </c>
      <c r="I8" s="73" t="s">
        <v>111</v>
      </c>
      <c r="J8" s="73" t="s">
        <v>110</v>
      </c>
      <c r="K8" s="73"/>
      <c r="L8" s="73"/>
    </row>
    <row r="9" spans="2:10" ht="12.75">
      <c r="B9" s="76"/>
      <c r="C9" s="76"/>
      <c r="D9" s="76"/>
      <c r="E9" s="76"/>
      <c r="F9" s="76"/>
      <c r="G9" s="76"/>
      <c r="H9" s="76"/>
      <c r="I9" s="76"/>
      <c r="J9" s="76"/>
    </row>
    <row r="10" spans="1:12" ht="12.75">
      <c r="A10" s="77" t="s">
        <v>16</v>
      </c>
      <c r="B10" s="97">
        <v>12.0987630208087</v>
      </c>
      <c r="C10" s="97">
        <v>9.03885712678843</v>
      </c>
      <c r="D10" s="97">
        <v>20.1780155363648</v>
      </c>
      <c r="E10" s="97">
        <v>20.7067312561817</v>
      </c>
      <c r="F10" s="97">
        <v>19.8361408475987</v>
      </c>
      <c r="G10" s="97">
        <v>1.66617177635563</v>
      </c>
      <c r="H10" s="97">
        <v>1.05125811930626</v>
      </c>
      <c r="I10" s="97">
        <v>48.5490526680728</v>
      </c>
      <c r="J10" s="97">
        <v>2.15389765781514</v>
      </c>
      <c r="K10" s="161">
        <v>24.6204351097865</v>
      </c>
      <c r="L10" s="162">
        <v>21.5684636266398</v>
      </c>
    </row>
    <row r="11" spans="1:12" ht="12.75">
      <c r="A11" s="80" t="s">
        <v>28</v>
      </c>
      <c r="B11" s="98">
        <v>-1.81984303333376</v>
      </c>
      <c r="C11" s="98">
        <v>-1.73176931294676</v>
      </c>
      <c r="D11" s="98">
        <v>-15.0019588159566</v>
      </c>
      <c r="E11" s="98">
        <v>-67.5987174372085</v>
      </c>
      <c r="F11" s="98">
        <v>-13.0103722247413</v>
      </c>
      <c r="G11" s="98">
        <v>1.09927318396997</v>
      </c>
      <c r="H11" s="98">
        <v>1.48754666793705</v>
      </c>
      <c r="I11" s="98">
        <v>74.1546049582281</v>
      </c>
      <c r="J11" s="98">
        <v>2.08708450948446</v>
      </c>
      <c r="K11" s="163">
        <v>3.73733372213709</v>
      </c>
      <c r="L11" s="164">
        <v>3.10639313859759</v>
      </c>
    </row>
    <row r="12" spans="1:12" ht="12.75">
      <c r="A12" s="81" t="s">
        <v>25</v>
      </c>
      <c r="B12" s="99">
        <v>15.168811838403</v>
      </c>
      <c r="C12" s="99">
        <v>16.7704023016375</v>
      </c>
      <c r="D12" s="99">
        <v>12.1473321139011</v>
      </c>
      <c r="E12" s="99">
        <v>10.5478004311508</v>
      </c>
      <c r="F12" s="99">
        <v>12.7084643259319</v>
      </c>
      <c r="G12" s="99">
        <v>1.47451286842805</v>
      </c>
      <c r="H12" s="99">
        <v>1.25773252025387</v>
      </c>
      <c r="I12" s="99">
        <v>56.3023529529109</v>
      </c>
      <c r="J12" s="99">
        <v>2.02979733132973</v>
      </c>
      <c r="K12" s="165">
        <v>16.252789917016</v>
      </c>
      <c r="L12" s="166">
        <v>14.2083918869203</v>
      </c>
    </row>
    <row r="13" spans="1:12" ht="12.75">
      <c r="A13" s="81" t="s">
        <v>5</v>
      </c>
      <c r="B13" s="99">
        <v>10.0068253272835</v>
      </c>
      <c r="C13" s="99">
        <v>10.156429967155</v>
      </c>
      <c r="D13" s="99">
        <v>8.84960236523389</v>
      </c>
      <c r="E13" s="99">
        <v>8.44795276131607</v>
      </c>
      <c r="F13" s="99">
        <v>8.98984048311977</v>
      </c>
      <c r="G13" s="99">
        <v>1.1814107708313</v>
      </c>
      <c r="H13" s="99">
        <v>0.402036982404007</v>
      </c>
      <c r="I13" s="99">
        <v>59.1898134197446</v>
      </c>
      <c r="J13" s="99">
        <v>1.54804254153629</v>
      </c>
      <c r="K13" s="165">
        <v>19.8787036960947</v>
      </c>
      <c r="L13" s="166">
        <v>17.7418101154655</v>
      </c>
    </row>
    <row r="14" spans="1:12" ht="12.75">
      <c r="A14" s="81" t="s">
        <v>6</v>
      </c>
      <c r="B14" s="99">
        <v>16.2573070182172</v>
      </c>
      <c r="C14" s="99">
        <v>14.052374339814</v>
      </c>
      <c r="D14" s="99">
        <v>26.1377611646906</v>
      </c>
      <c r="E14" s="99">
        <v>19.9818640891009</v>
      </c>
      <c r="F14" s="99">
        <v>36.8985309712676</v>
      </c>
      <c r="G14" s="99">
        <v>1.58655000350875</v>
      </c>
      <c r="H14" s="99">
        <v>0.7712022236501</v>
      </c>
      <c r="I14" s="99">
        <v>40.4339654558537</v>
      </c>
      <c r="J14" s="99">
        <v>1.5737051956746</v>
      </c>
      <c r="K14" s="165">
        <v>17.5060181465852</v>
      </c>
      <c r="L14" s="166">
        <v>14.7686108477462</v>
      </c>
    </row>
    <row r="15" spans="1:12" ht="12.75">
      <c r="A15" s="81" t="s">
        <v>7</v>
      </c>
      <c r="B15" s="99">
        <v>12.4793856929504</v>
      </c>
      <c r="C15" s="99">
        <v>11.2094089515689</v>
      </c>
      <c r="D15" s="99">
        <v>15.90117381034</v>
      </c>
      <c r="E15" s="99">
        <v>13.7627261111037</v>
      </c>
      <c r="F15" s="99">
        <v>17.2693055846002</v>
      </c>
      <c r="G15" s="99">
        <v>1.78221609794461</v>
      </c>
      <c r="H15" s="99">
        <v>1.01572720187269</v>
      </c>
      <c r="I15" s="99">
        <v>47.8277960283106</v>
      </c>
      <c r="J15" s="99">
        <v>2.31181517026708</v>
      </c>
      <c r="K15" s="165">
        <v>34.6253221045356</v>
      </c>
      <c r="L15" s="166">
        <v>32.0038751073293</v>
      </c>
    </row>
    <row r="16" spans="1:12" ht="12.75">
      <c r="A16" s="81" t="s">
        <v>244</v>
      </c>
      <c r="B16" s="100">
        <v>17.9663849658466</v>
      </c>
      <c r="C16" s="100">
        <v>11.7159739577276</v>
      </c>
      <c r="D16" s="100">
        <v>37.7869635230755</v>
      </c>
      <c r="E16" s="100">
        <v>63.0596867842662</v>
      </c>
      <c r="F16" s="100">
        <v>24.0282629638718</v>
      </c>
      <c r="G16" s="99">
        <v>1.58943322874855</v>
      </c>
      <c r="H16" s="99">
        <v>0.855200201151645</v>
      </c>
      <c r="I16" s="99">
        <v>50.3795014815501</v>
      </c>
      <c r="J16" s="99">
        <v>2.11415041198128</v>
      </c>
      <c r="K16" s="165">
        <v>32.3465956263289</v>
      </c>
      <c r="L16" s="166">
        <v>27.9509873066402</v>
      </c>
    </row>
    <row r="17" spans="1:12" ht="12.75">
      <c r="A17" s="81" t="s">
        <v>8</v>
      </c>
      <c r="B17" s="99">
        <v>16.9156418475476</v>
      </c>
      <c r="C17" s="99">
        <v>18.7488807479169</v>
      </c>
      <c r="D17" s="99">
        <v>9.59813290572575</v>
      </c>
      <c r="E17" s="99">
        <v>16.6572037624401</v>
      </c>
      <c r="F17" s="99">
        <v>8.5874867170104</v>
      </c>
      <c r="G17" s="99">
        <v>2.6479239645479</v>
      </c>
      <c r="H17" s="99">
        <v>1.46312174252758</v>
      </c>
      <c r="I17" s="99">
        <v>51.240735843181</v>
      </c>
      <c r="J17" s="99">
        <v>2.51449489504847</v>
      </c>
      <c r="K17" s="165">
        <v>15.5959370260744</v>
      </c>
      <c r="L17" s="166">
        <v>13.528827639483</v>
      </c>
    </row>
    <row r="18" spans="1:12" ht="12.75">
      <c r="A18" s="81" t="s">
        <v>31</v>
      </c>
      <c r="B18" s="99">
        <v>-91.0301103886781</v>
      </c>
      <c r="C18" s="99">
        <v>-91.0301103886781</v>
      </c>
      <c r="D18" s="100" t="s">
        <v>243</v>
      </c>
      <c r="E18" s="100" t="s">
        <v>243</v>
      </c>
      <c r="F18" s="100" t="s">
        <v>243</v>
      </c>
      <c r="G18" s="99">
        <v>0.999999353978876</v>
      </c>
      <c r="H18" s="99">
        <v>0</v>
      </c>
      <c r="I18" s="99">
        <v>59.7049352039614</v>
      </c>
      <c r="J18" s="99">
        <v>1.02696414984196</v>
      </c>
      <c r="K18" s="165">
        <v>4.3067862395209</v>
      </c>
      <c r="L18" s="166">
        <v>3.72204511538241</v>
      </c>
    </row>
    <row r="19" spans="1:12" ht="12.75">
      <c r="A19" s="81" t="s">
        <v>11</v>
      </c>
      <c r="B19" s="99">
        <v>30.9362384963754</v>
      </c>
      <c r="C19" s="99">
        <v>4675.95792156813</v>
      </c>
      <c r="D19" s="99">
        <v>22.7616982326481</v>
      </c>
      <c r="E19" s="99">
        <v>21.8145345652841</v>
      </c>
      <c r="F19" s="99">
        <v>26.8661455290801</v>
      </c>
      <c r="G19" s="99">
        <v>3.06257187654781</v>
      </c>
      <c r="H19" s="99">
        <v>0.247245296944087</v>
      </c>
      <c r="I19" s="99">
        <v>42.7748659724979</v>
      </c>
      <c r="J19" s="99">
        <v>4.81002196420234</v>
      </c>
      <c r="K19" s="165">
        <v>35.7972624353135</v>
      </c>
      <c r="L19" s="166">
        <v>29.6406025904078</v>
      </c>
    </row>
    <row r="20" spans="1:12" ht="12.75">
      <c r="A20" s="81" t="s">
        <v>24</v>
      </c>
      <c r="B20" s="99">
        <v>39.5658316726223</v>
      </c>
      <c r="C20" s="99">
        <v>39.5658318376885</v>
      </c>
      <c r="D20" s="100" t="s">
        <v>243</v>
      </c>
      <c r="E20" s="100" t="s">
        <v>243</v>
      </c>
      <c r="F20" s="100" t="s">
        <v>243</v>
      </c>
      <c r="G20" s="99">
        <v>2.26655447649325</v>
      </c>
      <c r="H20" s="99">
        <v>0.946436030997523</v>
      </c>
      <c r="I20" s="99">
        <v>82.2730911405055</v>
      </c>
      <c r="J20" s="99">
        <v>4.98814684645495</v>
      </c>
      <c r="K20" s="165">
        <v>3.91320316635232</v>
      </c>
      <c r="L20" s="166">
        <v>4.30873012186122</v>
      </c>
    </row>
    <row r="21" spans="1:12" ht="12.75">
      <c r="A21" s="81" t="s">
        <v>29</v>
      </c>
      <c r="B21" s="99">
        <v>2.7120982315233</v>
      </c>
      <c r="C21" s="99">
        <v>2.70467557601441</v>
      </c>
      <c r="D21" s="99">
        <v>17.5817095129553</v>
      </c>
      <c r="E21" s="99">
        <v>17.5817095129553</v>
      </c>
      <c r="F21" s="100" t="s">
        <v>243</v>
      </c>
      <c r="G21" s="99">
        <v>0.76058142832903</v>
      </c>
      <c r="H21" s="99">
        <v>0.0132428699612993</v>
      </c>
      <c r="I21" s="99">
        <v>184.803749859817</v>
      </c>
      <c r="J21" s="99">
        <v>1.55884159970911</v>
      </c>
      <c r="K21" s="165">
        <v>-2.6981592906719</v>
      </c>
      <c r="L21" s="166">
        <v>-2.22128189878696</v>
      </c>
    </row>
    <row r="22" spans="1:12" ht="12.75">
      <c r="A22" s="81" t="s">
        <v>9</v>
      </c>
      <c r="B22" s="99">
        <v>0.266410600151312</v>
      </c>
      <c r="C22" s="99">
        <v>0.474603319987721</v>
      </c>
      <c r="D22" s="99">
        <v>-20.2464586815666</v>
      </c>
      <c r="E22" s="99">
        <v>-18.3279189923368</v>
      </c>
      <c r="F22" s="99">
        <v>-20.940004989706</v>
      </c>
      <c r="G22" s="99">
        <v>2.13484295279453</v>
      </c>
      <c r="H22" s="99">
        <v>1.89140716395587</v>
      </c>
      <c r="I22" s="99">
        <v>71.6269248526943</v>
      </c>
      <c r="J22" s="99">
        <v>3.7223299225142</v>
      </c>
      <c r="K22" s="165">
        <v>13.7467317731034</v>
      </c>
      <c r="L22" s="166">
        <v>13.1021194454343</v>
      </c>
    </row>
    <row r="23" spans="1:12" ht="12.75">
      <c r="A23" s="81" t="s">
        <v>26</v>
      </c>
      <c r="B23" s="99">
        <v>21.8543637294462</v>
      </c>
      <c r="C23" s="99">
        <v>21.8543631168578</v>
      </c>
      <c r="D23" s="100" t="s">
        <v>243</v>
      </c>
      <c r="E23" s="100" t="s">
        <v>243</v>
      </c>
      <c r="F23" s="100" t="s">
        <v>243</v>
      </c>
      <c r="G23" s="99">
        <v>1.54958656050142</v>
      </c>
      <c r="H23" s="99">
        <v>0.0763760804411661</v>
      </c>
      <c r="I23" s="99">
        <v>120.802537697088</v>
      </c>
      <c r="J23" s="99">
        <v>3.30647152410736</v>
      </c>
      <c r="K23" s="165">
        <v>0.545702772283015</v>
      </c>
      <c r="L23" s="166">
        <v>0.43637226924642</v>
      </c>
    </row>
    <row r="24" spans="1:12" ht="12.75">
      <c r="A24" s="81" t="s">
        <v>251</v>
      </c>
      <c r="B24" s="100" t="s">
        <v>243</v>
      </c>
      <c r="C24" s="100" t="s">
        <v>243</v>
      </c>
      <c r="D24" s="100" t="s">
        <v>243</v>
      </c>
      <c r="E24" s="100" t="s">
        <v>243</v>
      </c>
      <c r="F24" s="100" t="s">
        <v>243</v>
      </c>
      <c r="G24" s="99">
        <v>3.8021756947306</v>
      </c>
      <c r="H24" s="99">
        <v>0.276443938935989</v>
      </c>
      <c r="I24" s="99">
        <v>52.6311142539107</v>
      </c>
      <c r="J24" s="99">
        <v>9.1609382607425</v>
      </c>
      <c r="K24" s="165">
        <v>36.5757010625354</v>
      </c>
      <c r="L24" s="166">
        <v>30.346426922215</v>
      </c>
    </row>
    <row r="25" spans="1:12" ht="12.75">
      <c r="A25" s="81" t="s">
        <v>30</v>
      </c>
      <c r="B25" s="100">
        <v>-100</v>
      </c>
      <c r="C25" s="100">
        <v>-100</v>
      </c>
      <c r="D25" s="100" t="s">
        <v>243</v>
      </c>
      <c r="E25" s="100" t="s">
        <v>243</v>
      </c>
      <c r="F25" s="100" t="s">
        <v>243</v>
      </c>
      <c r="G25" s="100" t="s">
        <v>243</v>
      </c>
      <c r="H25" s="100" t="s">
        <v>243</v>
      </c>
      <c r="I25" s="99">
        <v>392.09702841117</v>
      </c>
      <c r="J25" s="99">
        <v>9.91437546830197</v>
      </c>
      <c r="K25" s="165">
        <v>-24.0751143311607</v>
      </c>
      <c r="L25" s="166">
        <v>-19.0930433370361</v>
      </c>
    </row>
    <row r="26" spans="1:12" ht="12.75">
      <c r="A26" s="81" t="s">
        <v>22</v>
      </c>
      <c r="B26" s="99">
        <v>62.296669377293</v>
      </c>
      <c r="C26" s="99">
        <v>46.1248227471481</v>
      </c>
      <c r="D26" s="99">
        <v>63.8473242514836</v>
      </c>
      <c r="E26" s="99">
        <v>65.7127604144219</v>
      </c>
      <c r="F26" s="99">
        <v>51.1228594068933</v>
      </c>
      <c r="G26" s="99">
        <v>2.73970141304344</v>
      </c>
      <c r="H26" s="99">
        <v>0.117943443595934</v>
      </c>
      <c r="I26" s="99">
        <v>69.1366230182418</v>
      </c>
      <c r="J26" s="99">
        <v>7.63830595129918</v>
      </c>
      <c r="K26" s="165">
        <v>13.2892854192423</v>
      </c>
      <c r="L26" s="166">
        <v>12.5921200651046</v>
      </c>
    </row>
    <row r="27" spans="1:12" ht="12.75">
      <c r="A27" s="81" t="s">
        <v>10</v>
      </c>
      <c r="B27" s="99">
        <v>9.98778636487534</v>
      </c>
      <c r="C27" s="99">
        <v>5.02768624114351</v>
      </c>
      <c r="D27" s="99">
        <v>20.1781850016052</v>
      </c>
      <c r="E27" s="99">
        <v>16.7610581890843</v>
      </c>
      <c r="F27" s="99">
        <v>22.3598223337786</v>
      </c>
      <c r="G27" s="99">
        <v>1.51566826320725</v>
      </c>
      <c r="H27" s="99">
        <v>1.1703656901004</v>
      </c>
      <c r="I27" s="99">
        <v>41.2523236694371</v>
      </c>
      <c r="J27" s="99">
        <v>2.07734186260832</v>
      </c>
      <c r="K27" s="165">
        <v>33.716239482084</v>
      </c>
      <c r="L27" s="166">
        <v>28.7144818774007</v>
      </c>
    </row>
    <row r="28" spans="1:12" ht="12.75">
      <c r="A28" s="81" t="s">
        <v>32</v>
      </c>
      <c r="B28" s="99">
        <v>23.8830804810686</v>
      </c>
      <c r="C28" s="99">
        <v>24.9315345492099</v>
      </c>
      <c r="D28" s="99">
        <v>13.5585489838248</v>
      </c>
      <c r="E28" s="99">
        <v>27.7306932846237</v>
      </c>
      <c r="F28" s="99">
        <v>10.2376636048844</v>
      </c>
      <c r="G28" s="99">
        <v>1.4410898227858</v>
      </c>
      <c r="H28" s="99">
        <v>0.704912126504502</v>
      </c>
      <c r="I28" s="99">
        <v>49.254064120252</v>
      </c>
      <c r="J28" s="99">
        <v>1.35169309380086</v>
      </c>
      <c r="K28" s="165">
        <v>18.30534038179</v>
      </c>
      <c r="L28" s="166">
        <v>16.239361771818</v>
      </c>
    </row>
    <row r="29" spans="1:12" ht="12.75">
      <c r="A29" s="82" t="s">
        <v>21</v>
      </c>
      <c r="B29" s="101">
        <v>-2.55758940767238</v>
      </c>
      <c r="C29" s="101">
        <v>-15.2687773654533</v>
      </c>
      <c r="D29" s="101">
        <v>24.6683653897925</v>
      </c>
      <c r="E29" s="101">
        <v>19.078929131996</v>
      </c>
      <c r="F29" s="101">
        <v>26.7896639347286</v>
      </c>
      <c r="G29" s="101">
        <v>1.94530743074696</v>
      </c>
      <c r="H29" s="101">
        <v>2.04541198853191</v>
      </c>
      <c r="I29" s="101">
        <v>70.0450709586526</v>
      </c>
      <c r="J29" s="101">
        <v>2.47068181400704</v>
      </c>
      <c r="K29" s="167">
        <v>8.03417552090191</v>
      </c>
      <c r="L29" s="168">
        <v>7.43163439735195</v>
      </c>
    </row>
    <row r="30" spans="3:12" ht="12.75">
      <c r="C30" s="102"/>
      <c r="D30" s="102"/>
      <c r="E30" s="102"/>
      <c r="F30" s="102"/>
      <c r="G30" s="102"/>
      <c r="H30" s="102"/>
      <c r="I30" s="102"/>
      <c r="J30" s="102"/>
      <c r="K30" s="169"/>
      <c r="L30" s="170"/>
    </row>
    <row r="31" spans="1:12" ht="12.75">
      <c r="A31" s="78" t="s">
        <v>247</v>
      </c>
      <c r="B31" s="97">
        <v>14.5755756201642</v>
      </c>
      <c r="C31" s="97">
        <v>13.0565645441476</v>
      </c>
      <c r="D31" s="97">
        <v>16.0589210151358</v>
      </c>
      <c r="E31" s="97">
        <v>17.2071669325828</v>
      </c>
      <c r="F31" s="97">
        <v>15.7648795883477</v>
      </c>
      <c r="G31" s="97">
        <v>1.62574534251451</v>
      </c>
      <c r="H31" s="97">
        <v>0.794958495552431</v>
      </c>
      <c r="I31" s="97">
        <v>59.1676984063992</v>
      </c>
      <c r="J31" s="97">
        <v>2.10964589474852</v>
      </c>
      <c r="K31" s="162">
        <v>22.9875013650394</v>
      </c>
      <c r="L31" s="162">
        <v>10.6629471702512</v>
      </c>
    </row>
    <row r="32" spans="3:12" ht="12.75">
      <c r="C32" s="102"/>
      <c r="D32" s="102"/>
      <c r="E32" s="102"/>
      <c r="F32" s="102"/>
      <c r="G32" s="102"/>
      <c r="H32" s="102"/>
      <c r="I32" s="102"/>
      <c r="J32" s="102"/>
      <c r="K32" s="169"/>
      <c r="L32" s="170"/>
    </row>
    <row r="33" spans="1:12" ht="12.75">
      <c r="A33" s="78" t="s">
        <v>23</v>
      </c>
      <c r="B33" s="97">
        <v>14.5174228361852</v>
      </c>
      <c r="C33" s="97">
        <v>19.074186805266</v>
      </c>
      <c r="D33" s="97">
        <v>7.22821633665409</v>
      </c>
      <c r="E33" s="97">
        <v>13.7996048220495</v>
      </c>
      <c r="F33" s="97">
        <v>-2.19019978499196</v>
      </c>
      <c r="G33" s="97">
        <v>1.96557963811156</v>
      </c>
      <c r="H33" s="97">
        <v>0.941131021893697</v>
      </c>
      <c r="I33" s="97">
        <v>71.6198231912971</v>
      </c>
      <c r="J33" s="97">
        <v>4.36592798558466</v>
      </c>
      <c r="K33" s="162">
        <v>8.68993347927477</v>
      </c>
      <c r="L33" s="162">
        <v>7.8396819991379</v>
      </c>
    </row>
    <row r="34" spans="1:12" ht="12.75">
      <c r="A34" s="81" t="s">
        <v>34</v>
      </c>
      <c r="B34" s="99">
        <v>22.4023511420306</v>
      </c>
      <c r="C34" s="99">
        <v>29.187579588706</v>
      </c>
      <c r="D34" s="99">
        <v>13.4379468178909</v>
      </c>
      <c r="E34" s="99">
        <v>15.5547676031664</v>
      </c>
      <c r="F34" s="99">
        <v>11.8900997492307</v>
      </c>
      <c r="G34" s="99">
        <v>1.81825357234239</v>
      </c>
      <c r="H34" s="99">
        <v>1.24103571434416</v>
      </c>
      <c r="I34" s="99">
        <v>74.8867865399563</v>
      </c>
      <c r="J34" s="99">
        <v>3.35344681672356</v>
      </c>
      <c r="K34" s="163">
        <v>4.95161509058494</v>
      </c>
      <c r="L34" s="166">
        <v>4.27085556389348</v>
      </c>
    </row>
    <row r="35" spans="1:12" ht="12.75">
      <c r="A35" s="81" t="s">
        <v>12</v>
      </c>
      <c r="B35" s="99">
        <v>3.08595543138193</v>
      </c>
      <c r="C35" s="99">
        <v>4.85956485272721</v>
      </c>
      <c r="D35" s="99">
        <v>0.342186964647673</v>
      </c>
      <c r="E35" s="99">
        <v>12.750815597306</v>
      </c>
      <c r="F35" s="99">
        <v>-42.1550434948286</v>
      </c>
      <c r="G35" s="99">
        <v>2.44937370883804</v>
      </c>
      <c r="H35" s="99">
        <v>0.759277600263505</v>
      </c>
      <c r="I35" s="99">
        <v>87.1894790943763</v>
      </c>
      <c r="J35" s="99">
        <v>5.83680303302654</v>
      </c>
      <c r="K35" s="165">
        <v>5.11016125840707</v>
      </c>
      <c r="L35" s="166">
        <v>4.95723099948452</v>
      </c>
    </row>
    <row r="36" spans="1:12" ht="12.75">
      <c r="A36" s="81" t="s">
        <v>14</v>
      </c>
      <c r="B36" s="99">
        <v>-11.1349810642375</v>
      </c>
      <c r="C36" s="99">
        <v>-11.0453850961728</v>
      </c>
      <c r="D36" s="99">
        <v>-33.1534246698196</v>
      </c>
      <c r="E36" s="99">
        <v>-33.1534246698196</v>
      </c>
      <c r="F36" s="100" t="s">
        <v>243</v>
      </c>
      <c r="G36" s="99">
        <v>0.465561136931932</v>
      </c>
      <c r="H36" s="99">
        <v>0.130054975377329</v>
      </c>
      <c r="I36" s="100">
        <v>-452.262779091228</v>
      </c>
      <c r="J36" s="99">
        <v>4.03597437544054</v>
      </c>
      <c r="K36" s="165">
        <v>-5.44164197368495</v>
      </c>
      <c r="L36" s="166">
        <v>-5.45506207624975</v>
      </c>
    </row>
    <row r="37" spans="1:12" ht="12.75">
      <c r="A37" s="81" t="s">
        <v>13</v>
      </c>
      <c r="B37" s="99">
        <v>22.4090693212867</v>
      </c>
      <c r="C37" s="99">
        <v>22.4618508228204</v>
      </c>
      <c r="D37" s="99">
        <v>-37.9548779836973</v>
      </c>
      <c r="E37" s="99">
        <v>-37.9548779836973</v>
      </c>
      <c r="F37" s="100" t="s">
        <v>243</v>
      </c>
      <c r="G37" s="99">
        <v>0.767985596035754</v>
      </c>
      <c r="H37" s="99">
        <v>0</v>
      </c>
      <c r="I37" s="99">
        <v>177.350511916964</v>
      </c>
      <c r="J37" s="99">
        <v>4.58806395070162</v>
      </c>
      <c r="K37" s="165">
        <v>-3.48618201774899</v>
      </c>
      <c r="L37" s="166">
        <v>-3.48531118058478</v>
      </c>
    </row>
    <row r="38" spans="1:12" ht="12.75">
      <c r="A38" s="81" t="s">
        <v>35</v>
      </c>
      <c r="B38" s="99">
        <v>14.7747481009668</v>
      </c>
      <c r="C38" s="99">
        <v>14.7747481755143</v>
      </c>
      <c r="D38" s="100" t="s">
        <v>243</v>
      </c>
      <c r="E38" s="100" t="s">
        <v>243</v>
      </c>
      <c r="F38" s="100" t="s">
        <v>243</v>
      </c>
      <c r="G38" s="99">
        <v>0.433031263442568</v>
      </c>
      <c r="H38" s="99">
        <v>0</v>
      </c>
      <c r="I38" s="99">
        <v>128.352724923958</v>
      </c>
      <c r="J38" s="99">
        <v>2.01891344816278</v>
      </c>
      <c r="K38" s="165">
        <v>-1.70080915622142</v>
      </c>
      <c r="L38" s="166">
        <v>-1.70080915622142</v>
      </c>
    </row>
    <row r="39" spans="1:12" ht="12.75">
      <c r="A39" s="82" t="s">
        <v>33</v>
      </c>
      <c r="B39" s="101">
        <v>70.884484324557</v>
      </c>
      <c r="C39" s="101">
        <v>70.884484324557</v>
      </c>
      <c r="D39" s="103" t="s">
        <v>243</v>
      </c>
      <c r="E39" s="103" t="s">
        <v>243</v>
      </c>
      <c r="F39" s="103" t="s">
        <v>243</v>
      </c>
      <c r="G39" s="101">
        <v>0.181005488505406</v>
      </c>
      <c r="H39" s="101">
        <v>0</v>
      </c>
      <c r="I39" s="101">
        <v>15.6897410685014</v>
      </c>
      <c r="J39" s="101">
        <v>1.62497926276797</v>
      </c>
      <c r="K39" s="167">
        <v>24.7798793472644</v>
      </c>
      <c r="L39" s="168">
        <v>22.0578677549688</v>
      </c>
    </row>
    <row r="40" spans="3:12" ht="12.75">
      <c r="C40" s="102"/>
      <c r="D40" s="102"/>
      <c r="E40" s="102"/>
      <c r="F40" s="102"/>
      <c r="G40" s="102"/>
      <c r="H40" s="102"/>
      <c r="I40" s="102"/>
      <c r="J40" s="102"/>
      <c r="K40" s="169"/>
      <c r="L40" s="170"/>
    </row>
    <row r="41" spans="1:12" ht="12.75">
      <c r="A41" s="77" t="s">
        <v>15</v>
      </c>
      <c r="B41" s="97">
        <v>12.5371839955747</v>
      </c>
      <c r="C41" s="97">
        <v>9.83597290887499</v>
      </c>
      <c r="D41" s="97">
        <v>18.5438521492815</v>
      </c>
      <c r="E41" s="97">
        <v>19.6368147478113</v>
      </c>
      <c r="F41" s="97">
        <v>17.9191978641774</v>
      </c>
      <c r="G41" s="97">
        <v>1.67504306954879</v>
      </c>
      <c r="H41" s="97">
        <v>1.01175647230502</v>
      </c>
      <c r="I41" s="97">
        <v>51.7936533390111</v>
      </c>
      <c r="J41" s="97">
        <v>2.27225149897505</v>
      </c>
      <c r="K41" s="162">
        <v>22.3410436330566</v>
      </c>
      <c r="L41" s="162">
        <v>18.7056390564542</v>
      </c>
    </row>
    <row r="42" spans="1:12" ht="12.75">
      <c r="A42" s="85"/>
      <c r="B42" s="86"/>
      <c r="C42" s="104"/>
      <c r="D42" s="104"/>
      <c r="E42" s="104"/>
      <c r="F42" s="104"/>
      <c r="G42" s="104"/>
      <c r="H42" s="104"/>
      <c r="I42" s="104"/>
      <c r="J42" s="104"/>
      <c r="K42" s="169"/>
      <c r="L42" s="171"/>
    </row>
    <row r="43" spans="1:12" ht="12.75">
      <c r="A43" s="3" t="s">
        <v>60</v>
      </c>
      <c r="B43" s="45"/>
      <c r="C43" s="45"/>
      <c r="D43" s="45"/>
      <c r="E43" s="45"/>
      <c r="F43" s="45"/>
      <c r="G43" s="45"/>
      <c r="H43" s="45"/>
      <c r="I43" s="45"/>
      <c r="J43" s="45"/>
      <c r="K43" s="105"/>
      <c r="L43" s="105"/>
    </row>
    <row r="44" ht="12.75">
      <c r="A44" s="3" t="s">
        <v>248</v>
      </c>
    </row>
    <row r="45" ht="12.75">
      <c r="A45" s="3" t="s">
        <v>249</v>
      </c>
    </row>
    <row r="46" ht="12.75">
      <c r="A46" s="3" t="s">
        <v>250</v>
      </c>
    </row>
    <row r="48" ht="12.75">
      <c r="A48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7" ht="12.75">
      <c r="A1" s="106" t="s">
        <v>141</v>
      </c>
      <c r="G1" s="110" t="s">
        <v>148</v>
      </c>
    </row>
    <row r="2" ht="12.75">
      <c r="A2" s="106" t="s">
        <v>142</v>
      </c>
    </row>
    <row r="3" ht="12.75">
      <c r="A3" s="106"/>
    </row>
    <row r="4" ht="12.75">
      <c r="A4" s="106"/>
    </row>
    <row r="5" ht="12.75">
      <c r="A5" s="106"/>
    </row>
    <row r="6" ht="12.75">
      <c r="A6" s="106"/>
    </row>
    <row r="7" ht="12.75">
      <c r="A7" s="106"/>
    </row>
    <row r="8" ht="15.75">
      <c r="A8" s="107" t="s">
        <v>112</v>
      </c>
    </row>
    <row r="10" spans="1:2" ht="12.75">
      <c r="A10" s="112" t="s">
        <v>152</v>
      </c>
      <c r="B10" s="112" t="s">
        <v>153</v>
      </c>
    </row>
    <row r="11" spans="1:2" ht="15.75">
      <c r="A11" s="111"/>
      <c r="B11" s="111"/>
    </row>
    <row r="12" spans="1:2" ht="12.75">
      <c r="A12" s="188" t="s">
        <v>87</v>
      </c>
      <c r="B12" s="189"/>
    </row>
    <row r="13" spans="1:2" ht="12.75">
      <c r="A13" s="113"/>
      <c r="B13" s="114"/>
    </row>
    <row r="14" spans="1:2" ht="12.75">
      <c r="A14" s="115" t="s">
        <v>87</v>
      </c>
      <c r="B14" s="116" t="s">
        <v>240</v>
      </c>
    </row>
    <row r="16" spans="1:2" ht="12.75">
      <c r="A16" s="188" t="s">
        <v>233</v>
      </c>
      <c r="B16" s="189"/>
    </row>
    <row r="17" spans="1:2" ht="12.75">
      <c r="A17" s="117"/>
      <c r="B17" s="118"/>
    </row>
    <row r="18" spans="1:2" ht="12.75">
      <c r="A18" s="119" t="s">
        <v>154</v>
      </c>
      <c r="B18" s="120">
        <v>1110</v>
      </c>
    </row>
    <row r="19" spans="1:2" ht="12.75">
      <c r="A19" s="119" t="str">
        <f>"+ Ptmos. comerciales (a más de 1 año)"</f>
        <v>+ Ptmos. comerciales (a más de 1 año)</v>
      </c>
      <c r="B19" s="121">
        <v>1205</v>
      </c>
    </row>
    <row r="20" spans="1:2" ht="12.75">
      <c r="A20" s="119" t="str">
        <f>"+ Ptmos. hipot. endosables para fines generales"</f>
        <v>+ Ptmos. hipot. endosables para fines generales</v>
      </c>
      <c r="B20" s="121">
        <v>1248</v>
      </c>
    </row>
    <row r="21" spans="1:2" ht="12.75">
      <c r="A21" s="119" t="str">
        <f>"+ Ptmos. fines generales en letras de crédito"</f>
        <v>+ Ptmos. fines generales en letras de crédito</v>
      </c>
      <c r="B21" s="121">
        <v>1305</v>
      </c>
    </row>
    <row r="22" spans="1:2" ht="12.75">
      <c r="A22" s="119" t="str">
        <f>"+ Deudores por boletas de garantía y consig. judic. (hasta 1 año)"</f>
        <v>+ Deudores por boletas de garantía y consig. judic. (hasta 1 año)</v>
      </c>
      <c r="B22" s="121">
        <v>1605</v>
      </c>
    </row>
    <row r="23" spans="1:2" ht="12.75">
      <c r="A23" s="119" t="str">
        <f>"+ Deudores por avales y fianzas (hasta 1 año)"</f>
        <v>+ Deudores por avales y fianzas (hasta 1 año)</v>
      </c>
      <c r="B23" s="121">
        <v>1610</v>
      </c>
    </row>
    <row r="24" spans="1:2" ht="12.75">
      <c r="A24" s="119" t="str">
        <f>"+ Deudores por boletas de garantía y consig. judic. (a más de 1 año)"</f>
        <v>+ Deudores por boletas de garantía y consig. judic. (a más de 1 año)</v>
      </c>
      <c r="B24" s="121">
        <v>1655</v>
      </c>
    </row>
    <row r="25" spans="1:2" ht="12.75">
      <c r="A25" s="119" t="str">
        <f>"+ Deudores por avales y fianzas (a más de 1 año)"</f>
        <v>+ Deudores por avales y fianzas (a más de 1 año)</v>
      </c>
      <c r="B25" s="121">
        <v>1660</v>
      </c>
    </row>
    <row r="26" spans="1:2" ht="12.75">
      <c r="A26" s="119" t="str">
        <f>"+ Créditos comerciales vencidos"</f>
        <v>+ Créditos comerciales vencidos</v>
      </c>
      <c r="B26" s="121">
        <v>1401</v>
      </c>
    </row>
    <row r="27" spans="1:2" ht="12.75">
      <c r="A27" s="119" t="str">
        <f>"+ Operaciones de factoraje"</f>
        <v>+ Operaciones de factoraje</v>
      </c>
      <c r="B27" s="121">
        <v>1135</v>
      </c>
    </row>
    <row r="28" spans="1:2" ht="12.75">
      <c r="A28" s="119" t="str">
        <f>"+ Operaciones de factoraje (vencidas)"</f>
        <v>+ Operaciones de factoraje (vencidas)</v>
      </c>
      <c r="B28" s="121">
        <v>1418</v>
      </c>
    </row>
    <row r="29" spans="1:2" ht="12.75">
      <c r="A29" s="119" t="str">
        <f>"+ Contratos de leasing comercial"</f>
        <v>+ Contratos de leasing comercial</v>
      </c>
      <c r="B29" s="121" t="s">
        <v>155</v>
      </c>
    </row>
    <row r="30" spans="1:2" ht="12.75">
      <c r="A30" s="122" t="str">
        <f>"+ Intereses diferidos leasing comercial"</f>
        <v>+ Intereses diferidos leasing comercial</v>
      </c>
      <c r="B30" s="123" t="s">
        <v>156</v>
      </c>
    </row>
    <row r="31" spans="1:2" ht="12.75">
      <c r="A31" s="122" t="str">
        <f>"+ IVA diferido leasing comercial"</f>
        <v>+ IVA diferido leasing comercial</v>
      </c>
      <c r="B31" s="123" t="s">
        <v>157</v>
      </c>
    </row>
    <row r="32" spans="1:2" ht="12.75">
      <c r="A32" s="119" t="str">
        <f>"+ Contratos de leasing comercial vencidos"</f>
        <v>+ Contratos de leasing comercial vencidos</v>
      </c>
      <c r="B32" s="121" t="s">
        <v>158</v>
      </c>
    </row>
    <row r="33" spans="1:2" ht="12.75">
      <c r="A33" s="119" t="str">
        <f>"+ Otros saldos de la partida 1350"</f>
        <v>+ Otros saldos de la partida 1350</v>
      </c>
      <c r="B33" s="124" t="s">
        <v>159</v>
      </c>
    </row>
    <row r="34" spans="1:2" ht="12.75">
      <c r="A34" s="119" t="str">
        <f>"+ Varios deudores"</f>
        <v>+ Varios deudores</v>
      </c>
      <c r="B34" s="121">
        <v>1140</v>
      </c>
    </row>
    <row r="35" spans="1:2" ht="12.75">
      <c r="A35" s="119" t="str">
        <f>"+ Ptmos. productivos reprogramados"</f>
        <v>+ Ptmos. productivos reprogramados</v>
      </c>
      <c r="B35" s="121">
        <v>1235</v>
      </c>
    </row>
    <row r="36" spans="1:2" ht="12.75">
      <c r="A36" s="119" t="s">
        <v>160</v>
      </c>
      <c r="B36" s="121">
        <v>1245</v>
      </c>
    </row>
    <row r="37" spans="1:2" ht="12.75">
      <c r="A37" s="119" t="str">
        <f>"+ Dividendos por cobrar"</f>
        <v>+ Dividendos por cobrar</v>
      </c>
      <c r="B37" s="121">
        <v>1315</v>
      </c>
    </row>
    <row r="38" spans="1:2" ht="12.75">
      <c r="A38" s="119" t="str">
        <f>"+ Créditos importación (hasta 1 año)"</f>
        <v>+ Créditos importación (hasta 1 año)</v>
      </c>
      <c r="B38" s="121">
        <v>1125</v>
      </c>
    </row>
    <row r="39" spans="1:2" ht="12.75">
      <c r="A39" s="119" t="str">
        <f>"+ Créditos exportación (hasta 1 año)"</f>
        <v>+ Créditos exportación (hasta 1 año)</v>
      </c>
      <c r="B39" s="121">
        <v>1130</v>
      </c>
    </row>
    <row r="40" spans="1:2" ht="12.75">
      <c r="A40" s="119" t="str">
        <f>"+ Créditos importación (a más de 1 año)"</f>
        <v>+ Créditos importación (a más de 1 año)</v>
      </c>
      <c r="B40" s="121">
        <v>1220</v>
      </c>
    </row>
    <row r="41" spans="1:2" ht="12.75">
      <c r="A41" s="119" t="str">
        <f>"+ Créditos exportación (a más de 1 año)"</f>
        <v>+ Créditos exportación (a más de 1 año)</v>
      </c>
      <c r="B41" s="121">
        <v>1225</v>
      </c>
    </row>
    <row r="42" spans="1:2" ht="12.75">
      <c r="A42" s="119" t="str">
        <f>"+ Deudores por carta de crédito simples o documentarias"</f>
        <v>+ Deudores por carta de crédito simples o documentarias</v>
      </c>
      <c r="B42" s="121">
        <v>1615</v>
      </c>
    </row>
    <row r="43" spans="1:2" ht="12.75">
      <c r="A43" s="119" t="str">
        <f>"+ Deudores por carta crédito del exterior confirmadas"</f>
        <v>+ Deudores por carta crédito del exterior confirmadas</v>
      </c>
      <c r="B43" s="121">
        <v>1620</v>
      </c>
    </row>
    <row r="44" spans="1:2" ht="12.75">
      <c r="A44" s="119" t="str">
        <f>"+ Ptmos. a instituciones financieras (hasta 1 año)"</f>
        <v>+ Ptmos. a instituciones financieras (hasta 1 año)</v>
      </c>
      <c r="B44" s="121">
        <v>1120</v>
      </c>
    </row>
    <row r="45" spans="1:2" ht="12.75">
      <c r="A45" s="115" t="str">
        <f>"+ Ptmos. a instituciones financieras (a más de 1 año)"</f>
        <v>+ Ptmos. a instituciones financieras (a más de 1 año)</v>
      </c>
      <c r="B45" s="125">
        <v>1215</v>
      </c>
    </row>
    <row r="47" spans="1:2" ht="12.75">
      <c r="A47" s="188" t="s">
        <v>161</v>
      </c>
      <c r="B47" s="189"/>
    </row>
    <row r="48" spans="1:2" ht="12.75">
      <c r="A48" s="118"/>
      <c r="B48" s="118"/>
    </row>
    <row r="49" spans="1:2" ht="12.75">
      <c r="A49" s="122" t="s">
        <v>154</v>
      </c>
      <c r="B49" s="120">
        <v>1110</v>
      </c>
    </row>
    <row r="50" spans="1:2" ht="12.75">
      <c r="A50" s="119" t="str">
        <f>"+ Ptmos. comerciales (a más de 1 año)"</f>
        <v>+ Ptmos. comerciales (a más de 1 año)</v>
      </c>
      <c r="B50" s="121">
        <v>1205</v>
      </c>
    </row>
    <row r="51" spans="1:2" ht="12.75">
      <c r="A51" s="119" t="str">
        <f>"+ Ptmos. hipot. endosables para fines generales"</f>
        <v>+ Ptmos. hipot. endosables para fines generales</v>
      </c>
      <c r="B51" s="121">
        <v>1248</v>
      </c>
    </row>
    <row r="52" spans="1:2" ht="12.75">
      <c r="A52" s="122" t="str">
        <f>"+ Ptmos. fines generales en letras de crédito"</f>
        <v>+ Ptmos. fines generales en letras de crédito</v>
      </c>
      <c r="B52" s="121">
        <v>1305</v>
      </c>
    </row>
    <row r="53" spans="1:2" ht="12.75">
      <c r="A53" s="119" t="str">
        <f>"+ Deudores por boletas de garantía y consig. judic. (hasta 1 año)"</f>
        <v>+ Deudores por boletas de garantía y consig. judic. (hasta 1 año)</v>
      </c>
      <c r="B53" s="121">
        <v>1605</v>
      </c>
    </row>
    <row r="54" spans="1:2" ht="12.75">
      <c r="A54" s="119" t="str">
        <f>"+ Deudores por avales y fianzas (hasta 1 año)"</f>
        <v>+ Deudores por avales y fianzas (hasta 1 año)</v>
      </c>
      <c r="B54" s="121">
        <v>1610</v>
      </c>
    </row>
    <row r="55" spans="1:2" ht="12.75">
      <c r="A55" s="119" t="str">
        <f>"+ Deudores por boletas de garantía y consig. judic. (a más de 1 año)"</f>
        <v>+ Deudores por boletas de garantía y consig. judic. (a más de 1 año)</v>
      </c>
      <c r="B55" s="121">
        <v>1655</v>
      </c>
    </row>
    <row r="56" spans="1:2" ht="12.75">
      <c r="A56" s="119" t="str">
        <f>"+ Deudores por avales y fianzas (a más de 1 año)"</f>
        <v>+ Deudores por avales y fianzas (a más de 1 año)</v>
      </c>
      <c r="B56" s="121">
        <v>1660</v>
      </c>
    </row>
    <row r="57" spans="1:2" ht="12.75">
      <c r="A57" s="122" t="str">
        <f>"+ Créditos comerciales vencidos"</f>
        <v>+ Créditos comerciales vencidos</v>
      </c>
      <c r="B57" s="121">
        <v>1401</v>
      </c>
    </row>
    <row r="58" spans="1:2" ht="12.75">
      <c r="A58" s="122" t="str">
        <f>"+ Operaciones de factoraje"</f>
        <v>+ Operaciones de factoraje</v>
      </c>
      <c r="B58" s="121">
        <v>1135</v>
      </c>
    </row>
    <row r="59" spans="1:2" ht="12.75">
      <c r="A59" s="122" t="str">
        <f>"+ Operaciones de factoraje (vencidas)"</f>
        <v>+ Operaciones de factoraje (vencidas)</v>
      </c>
      <c r="B59" s="121">
        <v>1418</v>
      </c>
    </row>
    <row r="60" spans="1:2" ht="12.75">
      <c r="A60" s="122" t="str">
        <f>"+ Contratos de leasing comercial"</f>
        <v>+ Contratos de leasing comercial</v>
      </c>
      <c r="B60" s="121" t="s">
        <v>155</v>
      </c>
    </row>
    <row r="61" spans="1:2" ht="12.75">
      <c r="A61" s="122" t="str">
        <f>"+ Intereses diferidos leasing comercial"</f>
        <v>+ Intereses diferidos leasing comercial</v>
      </c>
      <c r="B61" s="123" t="s">
        <v>156</v>
      </c>
    </row>
    <row r="62" spans="1:2" ht="12.75">
      <c r="A62" s="122" t="str">
        <f>"+ IVA diferido leasing comercial"</f>
        <v>+ IVA diferido leasing comercial</v>
      </c>
      <c r="B62" s="123" t="s">
        <v>157</v>
      </c>
    </row>
    <row r="63" spans="1:2" ht="12.75">
      <c r="A63" s="122" t="str">
        <f>"+ Contratos de leasing comercial vencidos"</f>
        <v>+ Contratos de leasing comercial vencidos</v>
      </c>
      <c r="B63" s="121" t="s">
        <v>158</v>
      </c>
    </row>
    <row r="64" spans="1:2" ht="12.75">
      <c r="A64" s="122" t="str">
        <f>"+ Otros saldos de la partida 1350"</f>
        <v>+ Otros saldos de la partida 1350</v>
      </c>
      <c r="B64" s="124" t="s">
        <v>159</v>
      </c>
    </row>
    <row r="65" spans="1:2" ht="12.75">
      <c r="A65" s="122" t="str">
        <f>"+ Varios deudores"</f>
        <v>+ Varios deudores</v>
      </c>
      <c r="B65" s="121">
        <v>1140</v>
      </c>
    </row>
    <row r="66" spans="1:2" ht="12.75">
      <c r="A66" s="122" t="str">
        <f>"+ Ptmos. productivos reprogramados"</f>
        <v>+ Ptmos. productivos reprogramados</v>
      </c>
      <c r="B66" s="121">
        <v>1235</v>
      </c>
    </row>
    <row r="67" spans="1:2" ht="12.75">
      <c r="A67" s="122" t="s">
        <v>160</v>
      </c>
      <c r="B67" s="121">
        <v>1245</v>
      </c>
    </row>
    <row r="68" spans="1:2" ht="12.75">
      <c r="A68" s="126" t="str">
        <f>"+ Dividendos por cobrar"</f>
        <v>+ Dividendos por cobrar</v>
      </c>
      <c r="B68" s="125">
        <v>1315</v>
      </c>
    </row>
    <row r="70" spans="1:2" ht="12.75">
      <c r="A70" s="188" t="s">
        <v>162</v>
      </c>
      <c r="B70" s="189"/>
    </row>
    <row r="71" spans="1:2" ht="12.75">
      <c r="A71" s="118"/>
      <c r="B71" s="118"/>
    </row>
    <row r="72" spans="1:2" ht="12.75">
      <c r="A72" s="122" t="s">
        <v>163</v>
      </c>
      <c r="B72" s="124">
        <v>1125</v>
      </c>
    </row>
    <row r="73" spans="1:2" ht="12.75">
      <c r="A73" s="122" t="str">
        <f>"+ Créditos exportación (hasta 1 año)"</f>
        <v>+ Créditos exportación (hasta 1 año)</v>
      </c>
      <c r="B73" s="121">
        <v>1130</v>
      </c>
    </row>
    <row r="74" spans="1:2" ht="12.75">
      <c r="A74" s="122" t="str">
        <f>"+ Créditos importación (a más de 1 año)"</f>
        <v>+ Créditos importación (a más de 1 año)</v>
      </c>
      <c r="B74" s="121">
        <v>1220</v>
      </c>
    </row>
    <row r="75" spans="1:2" ht="12.75">
      <c r="A75" s="122" t="str">
        <f>"+ Créditos exportación (a más de 1 año)"</f>
        <v>+ Créditos exportación (a más de 1 año)</v>
      </c>
      <c r="B75" s="121">
        <v>1225</v>
      </c>
    </row>
    <row r="76" spans="1:2" ht="12.75">
      <c r="A76" s="122" t="str">
        <f>"+ Deudores por carta de crédito simples o documentarias"</f>
        <v>+ Deudores por carta de crédito simples o documentarias</v>
      </c>
      <c r="B76" s="121">
        <v>1615</v>
      </c>
    </row>
    <row r="77" spans="1:2" ht="12.75">
      <c r="A77" s="126" t="str">
        <f>"+ Deudores por carta crédito del exterior confirmadas"</f>
        <v>+ Deudores por carta crédito del exterior confirmadas</v>
      </c>
      <c r="B77" s="125">
        <v>1620</v>
      </c>
    </row>
    <row r="79" spans="1:2" ht="12.75">
      <c r="A79" s="188" t="s">
        <v>164</v>
      </c>
      <c r="B79" s="189"/>
    </row>
    <row r="80" spans="1:2" ht="12.75">
      <c r="A80" s="117"/>
      <c r="B80" s="118"/>
    </row>
    <row r="81" spans="1:2" ht="12.75">
      <c r="A81" s="119" t="s">
        <v>165</v>
      </c>
      <c r="B81" s="120">
        <v>1120</v>
      </c>
    </row>
    <row r="82" spans="1:2" ht="12.75">
      <c r="A82" s="115" t="str">
        <f>"+ Ptmos. a instituciones Financieras (a más de 1 año)"</f>
        <v>+ Ptmos. a instituciones Financieras (a más de 1 año)</v>
      </c>
      <c r="B82" s="125">
        <v>1215</v>
      </c>
    </row>
    <row r="84" spans="1:2" ht="12.75">
      <c r="A84" s="188" t="s">
        <v>166</v>
      </c>
      <c r="B84" s="189"/>
    </row>
    <row r="85" spans="1:2" ht="12.75">
      <c r="A85" s="117"/>
      <c r="B85" s="118"/>
    </row>
    <row r="86" spans="1:2" ht="12.75">
      <c r="A86" s="119" t="s">
        <v>167</v>
      </c>
      <c r="B86" s="124">
        <v>1115</v>
      </c>
    </row>
    <row r="87" spans="1:2" ht="12.75">
      <c r="A87" s="119" t="str">
        <f>"+ Ptmos. de consumo (a más de 1 año)"</f>
        <v>+ Ptmos. de consumo (a más de 1 año)</v>
      </c>
      <c r="B87" s="121">
        <v>1210</v>
      </c>
    </row>
    <row r="88" spans="1:2" ht="12.75">
      <c r="A88" s="119" t="str">
        <f>"+ Créditos de consumo vencidos"</f>
        <v>+ Créditos de consumo vencidos</v>
      </c>
      <c r="B88" s="121">
        <v>1411</v>
      </c>
    </row>
    <row r="89" spans="1:2" ht="12.75">
      <c r="A89" s="119" t="str">
        <f>"+ Contratos de leasing de consumo"</f>
        <v>+ Contratos de leasing de consumo</v>
      </c>
      <c r="B89" s="121" t="s">
        <v>168</v>
      </c>
    </row>
    <row r="90" spans="1:2" ht="12.75">
      <c r="A90" s="122" t="str">
        <f>"+ Intereses diferidos leasing  de consumo"</f>
        <v>+ Intereses diferidos leasing  de consumo</v>
      </c>
      <c r="B90" s="123" t="s">
        <v>169</v>
      </c>
    </row>
    <row r="91" spans="1:2" ht="12.75">
      <c r="A91" s="122" t="str">
        <f>"+ IVA diferido leasing de consumo"</f>
        <v>+ IVA diferido leasing de consumo</v>
      </c>
      <c r="B91" s="123" t="s">
        <v>170</v>
      </c>
    </row>
    <row r="92" spans="1:2" ht="12.75">
      <c r="A92" s="119" t="str">
        <f>"+ Contratos de leasing consumo vencidos"</f>
        <v>+ Contratos de leasing consumo vencidos</v>
      </c>
      <c r="B92" s="121" t="s">
        <v>171</v>
      </c>
    </row>
    <row r="93" spans="1:2" ht="12.75">
      <c r="A93" s="119" t="str">
        <f>"+ Créditos hipotecarios para vivienda"</f>
        <v>+ Créditos hipotecarios para vivienda</v>
      </c>
      <c r="B93" s="121">
        <v>1246</v>
      </c>
    </row>
    <row r="94" spans="1:2" ht="12.75">
      <c r="A94" s="119" t="s">
        <v>172</v>
      </c>
      <c r="B94" s="121">
        <v>1247</v>
      </c>
    </row>
    <row r="95" spans="1:2" ht="12.75">
      <c r="A95" s="119" t="str">
        <f>"+ Ptmos. para vivienda en letras de crédito"</f>
        <v>+ Ptmos. para vivienda en letras de crédito</v>
      </c>
      <c r="B95" s="121">
        <v>1310</v>
      </c>
    </row>
    <row r="96" spans="1:2" ht="12.75">
      <c r="A96" s="119" t="str">
        <f>"+ Créditos hipotecarios para vivienda vencidos"</f>
        <v>+ Créditos hipotecarios para vivienda vencidos</v>
      </c>
      <c r="B96" s="121">
        <v>1416</v>
      </c>
    </row>
    <row r="97" spans="1:2" ht="12.75">
      <c r="A97" s="119" t="str">
        <f>"+ Contratos de leasing de vivienda"</f>
        <v>+ Contratos de leasing de vivienda</v>
      </c>
      <c r="B97" s="121" t="s">
        <v>173</v>
      </c>
    </row>
    <row r="98" spans="1:2" ht="12.75">
      <c r="A98" s="122" t="str">
        <f>"+ Intereses diferidos leasing de vivienda"</f>
        <v>+ Intereses diferidos leasing de vivienda</v>
      </c>
      <c r="B98" s="123" t="s">
        <v>174</v>
      </c>
    </row>
    <row r="99" spans="1:2" ht="12.75">
      <c r="A99" s="122" t="str">
        <f>"+ IVA diferido leasing de vivienda"</f>
        <v>+ IVA diferido leasing de vivienda</v>
      </c>
      <c r="B99" s="123" t="s">
        <v>175</v>
      </c>
    </row>
    <row r="100" spans="1:2" ht="12.75">
      <c r="A100" s="115" t="str">
        <f>"+ Contratos de leasing de vivienda vencidos"</f>
        <v>+ Contratos de leasing de vivienda vencidos</v>
      </c>
      <c r="B100" s="125" t="s">
        <v>176</v>
      </c>
    </row>
    <row r="102" spans="1:2" ht="12.75">
      <c r="A102" s="188" t="s">
        <v>234</v>
      </c>
      <c r="B102" s="189"/>
    </row>
    <row r="103" spans="1:2" ht="12.75">
      <c r="A103" s="118"/>
      <c r="B103" s="118"/>
    </row>
    <row r="104" spans="1:2" ht="12.75">
      <c r="A104" s="122" t="s">
        <v>167</v>
      </c>
      <c r="B104" s="124">
        <v>1115</v>
      </c>
    </row>
    <row r="105" spans="1:2" ht="12.75">
      <c r="A105" s="122" t="str">
        <f>"+ Ptmos. de consumo (a más de 1 año)"</f>
        <v>+ Ptmos. de consumo (a más de 1 año)</v>
      </c>
      <c r="B105" s="121">
        <v>1210</v>
      </c>
    </row>
    <row r="106" spans="1:2" ht="12.75">
      <c r="A106" s="122" t="str">
        <f>"+ Créditos de consumo vencidos"</f>
        <v>+ Créditos de consumo vencidos</v>
      </c>
      <c r="B106" s="121">
        <v>1411</v>
      </c>
    </row>
    <row r="107" spans="1:2" ht="12.75">
      <c r="A107" s="122" t="str">
        <f>"+ Contratos de leasing de consumo"</f>
        <v>+ Contratos de leasing de consumo</v>
      </c>
      <c r="B107" s="121" t="s">
        <v>168</v>
      </c>
    </row>
    <row r="108" spans="1:2" ht="12.75">
      <c r="A108" s="122" t="str">
        <f>"+ Intereses diferidos leasing  de consumo"</f>
        <v>+ Intereses diferidos leasing  de consumo</v>
      </c>
      <c r="B108" s="124" t="s">
        <v>169</v>
      </c>
    </row>
    <row r="109" spans="1:2" ht="12.75">
      <c r="A109" s="122" t="str">
        <f>"+ IVA diferido leasing de consumo"</f>
        <v>+ IVA diferido leasing de consumo</v>
      </c>
      <c r="B109" s="124" t="s">
        <v>170</v>
      </c>
    </row>
    <row r="110" spans="1:2" ht="12.75">
      <c r="A110" s="126" t="str">
        <f>"+ Contratos de leasing consumo vencidos"</f>
        <v>+ Contratos de leasing consumo vencidos</v>
      </c>
      <c r="B110" s="125" t="s">
        <v>171</v>
      </c>
    </row>
    <row r="112" spans="1:2" ht="12.75">
      <c r="A112" s="188" t="s">
        <v>235</v>
      </c>
      <c r="B112" s="189"/>
    </row>
    <row r="113" spans="1:2" ht="12.75">
      <c r="A113" s="117"/>
      <c r="B113" s="118"/>
    </row>
    <row r="114" spans="1:2" ht="12.75">
      <c r="A114" s="119" t="s">
        <v>177</v>
      </c>
      <c r="B114" s="124">
        <v>1246</v>
      </c>
    </row>
    <row r="115" spans="1:2" ht="12.75">
      <c r="A115" s="119" t="s">
        <v>172</v>
      </c>
      <c r="B115" s="121">
        <v>1247</v>
      </c>
    </row>
    <row r="116" spans="1:2" ht="12.75">
      <c r="A116" s="119" t="str">
        <f>"+ Ptmos. para vivienda en letras de crédito"</f>
        <v>+ Ptmos. para vivienda en letras de crédito</v>
      </c>
      <c r="B116" s="121">
        <v>1310</v>
      </c>
    </row>
    <row r="117" spans="1:2" ht="12.75">
      <c r="A117" s="119" t="str">
        <f>"+ Créditos hipotecarios para vivienda vencidos"</f>
        <v>+ Créditos hipotecarios para vivienda vencidos</v>
      </c>
      <c r="B117" s="121">
        <v>1416</v>
      </c>
    </row>
    <row r="118" spans="1:2" ht="12.75">
      <c r="A118" s="119" t="str">
        <f>"+ Contratos de leasing de vivienda"</f>
        <v>+ Contratos de leasing de vivienda</v>
      </c>
      <c r="B118" s="121" t="s">
        <v>173</v>
      </c>
    </row>
    <row r="119" spans="1:2" ht="12.75">
      <c r="A119" s="122" t="str">
        <f>"+ Intereses diferidos leasing de vivienda"</f>
        <v>+ Intereses diferidos leasing de vivienda</v>
      </c>
      <c r="B119" s="123" t="s">
        <v>174</v>
      </c>
    </row>
    <row r="120" spans="1:2" ht="12.75">
      <c r="A120" s="122" t="str">
        <f>"+ IVA diferido leasing de vivienda"</f>
        <v>+ IVA diferido leasing de vivienda</v>
      </c>
      <c r="B120" s="123" t="s">
        <v>175</v>
      </c>
    </row>
    <row r="121" spans="1:2" ht="12.75">
      <c r="A121" s="115" t="str">
        <f>"+ Contratos de leasing de vivienda vencidos"</f>
        <v>+ Contratos de leasing de vivienda vencidos</v>
      </c>
      <c r="B121" s="125" t="s">
        <v>176</v>
      </c>
    </row>
    <row r="122" spans="1:2" ht="12.75">
      <c r="A122" s="33"/>
      <c r="B122" s="127"/>
    </row>
    <row r="123" spans="1:2" ht="12.75">
      <c r="A123" s="188" t="s">
        <v>70</v>
      </c>
      <c r="B123" s="189"/>
    </row>
    <row r="124" spans="1:2" ht="12.75">
      <c r="A124" s="113"/>
      <c r="B124" s="114"/>
    </row>
    <row r="125" spans="1:2" ht="12.75">
      <c r="A125" s="115" t="s">
        <v>70</v>
      </c>
      <c r="B125" s="116" t="s">
        <v>178</v>
      </c>
    </row>
    <row r="126" ht="12.75">
      <c r="A126" s="6"/>
    </row>
    <row r="127" spans="1:2" ht="12.75">
      <c r="A127" s="188" t="s">
        <v>71</v>
      </c>
      <c r="B127" s="189"/>
    </row>
    <row r="128" spans="1:2" ht="12.75">
      <c r="A128" s="113"/>
      <c r="B128" s="114"/>
    </row>
    <row r="129" spans="1:2" ht="12.75">
      <c r="A129" s="119" t="s">
        <v>179</v>
      </c>
      <c r="B129" s="124" t="s">
        <v>180</v>
      </c>
    </row>
    <row r="130" spans="1:2" ht="12.75">
      <c r="A130" s="119" t="str">
        <f>"- Cuentas ajuste control pasivo"</f>
        <v>- Cuentas ajuste control pasivo</v>
      </c>
      <c r="B130" s="124" t="str">
        <f>"- (4505 a 4525)"</f>
        <v>- (4505 a 4525)</v>
      </c>
    </row>
    <row r="131" spans="1:2" ht="12.75">
      <c r="A131" s="119" t="str">
        <f>"- Documentos a cargo de otros bancos (canje)"</f>
        <v>- Documentos a cargo de otros bancos (canje)</v>
      </c>
      <c r="B131" s="124" t="str">
        <f>"- 1015"</f>
        <v>- 1015</v>
      </c>
    </row>
    <row r="132" spans="1:2" ht="12.75">
      <c r="A132" s="115" t="str">
        <f>"- Operaciones a futuro pasivo"</f>
        <v>- Operaciones a futuro pasivo</v>
      </c>
      <c r="B132" s="128">
        <v>4127</v>
      </c>
    </row>
    <row r="133" ht="12.75">
      <c r="A133" s="6"/>
    </row>
    <row r="134" spans="1:2" ht="12.75">
      <c r="A134" s="188" t="s">
        <v>72</v>
      </c>
      <c r="B134" s="189"/>
    </row>
    <row r="135" spans="1:2" ht="12.75">
      <c r="A135" s="117"/>
      <c r="B135" s="118"/>
    </row>
    <row r="136" spans="1:2" ht="12.75">
      <c r="A136" s="119" t="s">
        <v>181</v>
      </c>
      <c r="B136" s="122">
        <v>3005</v>
      </c>
    </row>
    <row r="137" spans="1:2" ht="12.75">
      <c r="A137" s="119" t="str">
        <f>"+ Otros saldos acreedores a la vista"</f>
        <v>+ Otros saldos acreedores a la vista</v>
      </c>
      <c r="B137" s="129">
        <v>3010</v>
      </c>
    </row>
    <row r="138" spans="1:2" ht="12.75">
      <c r="A138" s="119" t="str">
        <f>"+ Cuentas de depósito a la vista"</f>
        <v>+ Cuentas de depósito a la vista</v>
      </c>
      <c r="B138" s="129">
        <v>3015</v>
      </c>
    </row>
    <row r="139" spans="1:2" ht="12.75">
      <c r="A139" s="119" t="str">
        <f>"- Documentos a cargo de otros bancos (canje)"</f>
        <v>- Documentos a cargo de otros bancos (canje)</v>
      </c>
      <c r="B139" s="130">
        <v>1015</v>
      </c>
    </row>
    <row r="140" spans="1:2" ht="12.75">
      <c r="A140" s="119" t="str">
        <f>"+ Depósitos y captaciones a plazo 30 a 89 días"</f>
        <v>+ Depósitos y captaciones a plazo 30 a 89 días</v>
      </c>
      <c r="B140" s="129">
        <v>3020</v>
      </c>
    </row>
    <row r="141" spans="1:2" ht="12.75">
      <c r="A141" s="119" t="str">
        <f>"+ Depósitos y captaciones a plazo 90 días a 1 año"</f>
        <v>+ Depósitos y captaciones a plazo 90 días a 1 año</v>
      </c>
      <c r="B141" s="129">
        <v>3025</v>
      </c>
    </row>
    <row r="142" spans="1:2" ht="12.75">
      <c r="A142" s="119" t="str">
        <f>"+ Otros saldos acreedores a plazo"</f>
        <v>+ Otros saldos acreedores a plazo</v>
      </c>
      <c r="B142" s="129">
        <v>3030</v>
      </c>
    </row>
    <row r="143" spans="1:2" ht="12.75">
      <c r="A143" s="119" t="str">
        <f>"+ Depósitos de ahorro a plazo"</f>
        <v>+ Depósitos de ahorro a plazo</v>
      </c>
      <c r="B143" s="129">
        <v>3035</v>
      </c>
    </row>
    <row r="144" spans="1:2" ht="12.75">
      <c r="A144" s="115" t="str">
        <f>"+ Depósitos y captaciones (a más de 1 año)"</f>
        <v>+ Depósitos y captaciones (a más de 1 año)</v>
      </c>
      <c r="B144" s="131">
        <v>3065</v>
      </c>
    </row>
    <row r="146" spans="1:2" ht="12.75">
      <c r="A146" s="188" t="s">
        <v>236</v>
      </c>
      <c r="B146" s="189"/>
    </row>
    <row r="147" spans="1:2" ht="12.75">
      <c r="A147" s="132"/>
      <c r="B147" s="133"/>
    </row>
    <row r="148" spans="1:2" ht="12.75">
      <c r="A148" s="122" t="s">
        <v>181</v>
      </c>
      <c r="B148" s="122">
        <v>3005</v>
      </c>
    </row>
    <row r="149" spans="1:2" ht="12.75">
      <c r="A149" s="122" t="str">
        <f>"+ Otros saldos acreedores a la vista"</f>
        <v>+ Otros saldos acreedores a la vista</v>
      </c>
      <c r="B149" s="129">
        <v>3010</v>
      </c>
    </row>
    <row r="150" spans="1:2" ht="12.75">
      <c r="A150" s="122" t="str">
        <f>"+ Cuentas de depósito a la vista"</f>
        <v>+ Cuentas de depósito a la vista</v>
      </c>
      <c r="B150" s="129">
        <v>3015</v>
      </c>
    </row>
    <row r="151" spans="1:2" ht="12.75">
      <c r="A151" s="126" t="str">
        <f>"- Documentos a cargo de otros bancos (canje)"</f>
        <v>- Documentos a cargo de otros bancos (canje)</v>
      </c>
      <c r="B151" s="134">
        <v>1015</v>
      </c>
    </row>
    <row r="153" spans="1:2" ht="12.75">
      <c r="A153" s="188" t="s">
        <v>182</v>
      </c>
      <c r="B153" s="189"/>
    </row>
    <row r="154" spans="1:2" ht="12.75">
      <c r="A154" s="135"/>
      <c r="B154" s="118"/>
    </row>
    <row r="155" spans="1:2" ht="12.75">
      <c r="A155" s="119" t="str">
        <f>"   Depósitos y captaciones a plazo 30 a 89 días"</f>
        <v>   Depósitos y captaciones a plazo 30 a 89 días</v>
      </c>
      <c r="B155" s="122">
        <v>3020</v>
      </c>
    </row>
    <row r="156" spans="1:2" ht="12.75">
      <c r="A156" s="119" t="str">
        <f>"+ Depósitos y captaciones a plazo 90 días a 1 año"</f>
        <v>+ Depósitos y captaciones a plazo 90 días a 1 año</v>
      </c>
      <c r="B156" s="129">
        <v>3025</v>
      </c>
    </row>
    <row r="157" spans="1:2" ht="12.75">
      <c r="A157" s="119" t="str">
        <f>"+ Otros saldos acreedores a plazo"</f>
        <v>+ Otros saldos acreedores a plazo</v>
      </c>
      <c r="B157" s="129">
        <v>3030</v>
      </c>
    </row>
    <row r="158" spans="1:2" ht="12.75">
      <c r="A158" s="119" t="str">
        <f>"+ Depósitos de ahorro a plazo"</f>
        <v>+ Depósitos de ahorro a plazo</v>
      </c>
      <c r="B158" s="129">
        <v>3035</v>
      </c>
    </row>
    <row r="159" spans="1:2" ht="12.75">
      <c r="A159" s="115" t="str">
        <f>"+ Depósitos y captaciones (a más de 1 año)"</f>
        <v>+ Depósitos y captaciones (a más de 1 año)</v>
      </c>
      <c r="B159" s="131">
        <v>3065</v>
      </c>
    </row>
    <row r="161" spans="1:2" ht="12.75">
      <c r="A161" s="188" t="s">
        <v>113</v>
      </c>
      <c r="B161" s="189"/>
    </row>
    <row r="162" spans="1:2" ht="12.75">
      <c r="A162" s="117"/>
      <c r="B162" s="118"/>
    </row>
    <row r="163" spans="1:2" ht="12.75">
      <c r="A163" s="119" t="s">
        <v>183</v>
      </c>
      <c r="B163" s="124" t="s">
        <v>184</v>
      </c>
    </row>
    <row r="164" spans="1:2" ht="12.75">
      <c r="A164" s="115" t="str">
        <f>"+ Cartas de crédito simples o documentarias"</f>
        <v>+ Cartas de crédito simples o documentarias</v>
      </c>
      <c r="B164" s="131">
        <v>3615</v>
      </c>
    </row>
    <row r="166" spans="1:2" ht="12.75">
      <c r="A166" s="188" t="s">
        <v>114</v>
      </c>
      <c r="B166" s="189"/>
    </row>
    <row r="167" spans="1:2" ht="12.75">
      <c r="A167" s="118"/>
      <c r="B167" s="118"/>
    </row>
    <row r="168" spans="1:2" ht="12.75">
      <c r="A168" s="122" t="str">
        <f>"Obligaciones con letras  de crédito"</f>
        <v>Obligaciones con letras  de crédito</v>
      </c>
      <c r="B168" s="124" t="s">
        <v>185</v>
      </c>
    </row>
    <row r="169" spans="1:2" ht="12.75">
      <c r="A169" s="122" t="str">
        <f>" + Obligaciones por bonos (ordinarios)"</f>
        <v> + Obligaciones por bonos (ordinarios)</v>
      </c>
      <c r="B169" s="129">
        <v>3075</v>
      </c>
    </row>
    <row r="170" spans="1:2" ht="12.75">
      <c r="A170" s="126" t="s">
        <v>186</v>
      </c>
      <c r="B170" s="131">
        <v>4190</v>
      </c>
    </row>
    <row r="172" spans="1:2" ht="12.75">
      <c r="A172" s="188" t="s">
        <v>187</v>
      </c>
      <c r="B172" s="189"/>
    </row>
    <row r="173" spans="1:2" ht="12.75">
      <c r="A173" s="114"/>
      <c r="B173" s="114"/>
    </row>
    <row r="174" spans="1:2" ht="12.75">
      <c r="A174" s="126" t="str">
        <f>"Obligaciones con letras  de crédito"</f>
        <v>Obligaciones con letras  de crédito</v>
      </c>
      <c r="B174" s="116" t="s">
        <v>185</v>
      </c>
    </row>
    <row r="176" spans="1:2" ht="12.75">
      <c r="A176" s="188" t="s">
        <v>188</v>
      </c>
      <c r="B176" s="189"/>
    </row>
    <row r="177" spans="1:2" ht="12.75">
      <c r="A177" s="118"/>
      <c r="B177" s="118"/>
    </row>
    <row r="178" spans="1:2" ht="12.75">
      <c r="A178" s="126" t="str">
        <f>"Obligaciones por bonos (ordinarios)"</f>
        <v>Obligaciones por bonos (ordinarios)</v>
      </c>
      <c r="B178" s="136">
        <v>3075</v>
      </c>
    </row>
    <row r="180" spans="1:2" ht="12.75">
      <c r="A180" s="188" t="s">
        <v>189</v>
      </c>
      <c r="B180" s="189"/>
    </row>
    <row r="181" spans="1:2" ht="12.75">
      <c r="A181" s="117"/>
      <c r="B181" s="137"/>
    </row>
    <row r="182" spans="1:2" ht="12.75">
      <c r="A182" s="115" t="s">
        <v>189</v>
      </c>
      <c r="B182" s="126">
        <v>4190</v>
      </c>
    </row>
    <row r="184" spans="1:2" ht="12.75">
      <c r="A184" s="188" t="s">
        <v>73</v>
      </c>
      <c r="B184" s="189"/>
    </row>
    <row r="185" spans="1:2" ht="12.75">
      <c r="A185" s="118"/>
      <c r="B185" s="137"/>
    </row>
    <row r="186" spans="1:2" ht="12.75">
      <c r="A186" s="126" t="s">
        <v>73</v>
      </c>
      <c r="B186" s="116" t="s">
        <v>190</v>
      </c>
    </row>
    <row r="188" spans="1:2" ht="12.75">
      <c r="A188" s="188" t="s">
        <v>76</v>
      </c>
      <c r="B188" s="189"/>
    </row>
    <row r="189" spans="1:2" ht="12.75">
      <c r="A189" s="118"/>
      <c r="B189" s="137"/>
    </row>
    <row r="190" spans="1:2" ht="12.75">
      <c r="A190" s="115" t="s">
        <v>76</v>
      </c>
      <c r="B190" s="116" t="s">
        <v>191</v>
      </c>
    </row>
    <row r="192" spans="1:2" ht="12.75">
      <c r="A192" s="188" t="s">
        <v>75</v>
      </c>
      <c r="B192" s="189"/>
    </row>
    <row r="193" spans="1:2" ht="12.75">
      <c r="A193" s="118"/>
      <c r="B193" s="137"/>
    </row>
    <row r="194" spans="1:2" ht="12.75">
      <c r="A194" s="122" t="s">
        <v>192</v>
      </c>
      <c r="B194" s="124">
        <v>1350</v>
      </c>
    </row>
    <row r="195" spans="1:2" ht="12.75">
      <c r="A195" s="126" t="str">
        <f>"+ contratos de leasing vencidos"</f>
        <v>+ contratos de leasing vencidos</v>
      </c>
      <c r="B195" s="131">
        <v>1421</v>
      </c>
    </row>
    <row r="196" spans="1:2" ht="12.75">
      <c r="A196" s="6"/>
      <c r="B196" s="138"/>
    </row>
    <row r="197" spans="1:2" ht="12.75">
      <c r="A197" s="188" t="s">
        <v>93</v>
      </c>
      <c r="B197" s="189"/>
    </row>
    <row r="198" spans="1:2" ht="12.75">
      <c r="A198" s="118"/>
      <c r="B198" s="137"/>
    </row>
    <row r="199" spans="1:2" ht="12.75">
      <c r="A199" s="122" t="s">
        <v>193</v>
      </c>
      <c r="B199" s="121">
        <v>1135</v>
      </c>
    </row>
    <row r="200" spans="1:2" ht="12.75">
      <c r="A200" s="126" t="str">
        <f>"+ Operaciones de factoraje vencidas"</f>
        <v>+ Operaciones de factoraje vencidas</v>
      </c>
      <c r="B200" s="125">
        <v>1418</v>
      </c>
    </row>
    <row r="202" spans="1:2" ht="12.75">
      <c r="A202" s="188" t="s">
        <v>74</v>
      </c>
      <c r="B202" s="189"/>
    </row>
    <row r="203" spans="1:2" ht="12.75">
      <c r="A203" s="118"/>
      <c r="B203" s="118"/>
    </row>
    <row r="204" spans="1:2" ht="12.75">
      <c r="A204" s="122" t="str">
        <f>"   Deudores por boletas de garantía y consig. judic. (hasta 1 año)"</f>
        <v>   Deudores por boletas de garantía y consig. judic. (hasta 1 año)</v>
      </c>
      <c r="B204" s="120">
        <v>1605</v>
      </c>
    </row>
    <row r="205" spans="1:2" ht="12.75">
      <c r="A205" s="122" t="str">
        <f>"+ Deudores por avales y fianzas (hasta 1 año)"</f>
        <v>+ Deudores por avales y fianzas (hasta 1 año)</v>
      </c>
      <c r="B205" s="121">
        <v>1610</v>
      </c>
    </row>
    <row r="206" spans="1:2" ht="12.75">
      <c r="A206" s="122" t="str">
        <f>"+ Deudores por carta crédito simples y documentarias"</f>
        <v>+ Deudores por carta crédito simples y documentarias</v>
      </c>
      <c r="B206" s="121">
        <v>1615</v>
      </c>
    </row>
    <row r="207" spans="1:2" ht="12.75">
      <c r="A207" s="122" t="str">
        <f>"+ Deudores por carta crédito del exterior confirmadas"</f>
        <v>+ Deudores por carta crédito del exterior confirmadas</v>
      </c>
      <c r="B207" s="121">
        <v>1620</v>
      </c>
    </row>
    <row r="208" spans="1:2" ht="12.75">
      <c r="A208" s="122" t="str">
        <f>"+ Deudores por boletas de garantía y consig. judic. (a más de 1 año)"</f>
        <v>+ Deudores por boletas de garantía y consig. judic. (a más de 1 año)</v>
      </c>
      <c r="B208" s="121">
        <v>1655</v>
      </c>
    </row>
    <row r="209" spans="1:2" ht="12.75">
      <c r="A209" s="126" t="str">
        <f>"+ Deudores por avales y fianzas (a más de 1 año)"</f>
        <v>+ Deudores por avales y fianzas (a más de 1 año)</v>
      </c>
      <c r="B209" s="125">
        <v>1660</v>
      </c>
    </row>
    <row r="212" spans="1:2" ht="12.75">
      <c r="A212" s="188" t="s">
        <v>77</v>
      </c>
      <c r="B212" s="189"/>
    </row>
    <row r="213" spans="1:2" ht="12.75">
      <c r="A213" s="117"/>
      <c r="B213" s="118"/>
    </row>
    <row r="214" spans="1:2" ht="12.75">
      <c r="A214" s="115" t="s">
        <v>77</v>
      </c>
      <c r="B214" s="116" t="s">
        <v>241</v>
      </c>
    </row>
    <row r="215" spans="1:2" ht="12.75">
      <c r="A215" s="6"/>
      <c r="B215" s="139"/>
    </row>
    <row r="217" spans="1:2" ht="12.75">
      <c r="A217" s="188" t="s">
        <v>194</v>
      </c>
      <c r="B217" s="189"/>
    </row>
    <row r="218" spans="1:2" ht="12.75">
      <c r="A218" s="117"/>
      <c r="B218" s="118"/>
    </row>
    <row r="219" spans="1:2" ht="12.75">
      <c r="A219" s="119" t="s">
        <v>195</v>
      </c>
      <c r="B219" s="124" t="s">
        <v>196</v>
      </c>
    </row>
    <row r="220" spans="1:2" ht="12.75">
      <c r="A220" s="119" t="str">
        <f>"+ Reajustes percibidos y devengados"</f>
        <v>+ Reajustes percibidos y devengados</v>
      </c>
      <c r="B220" s="124" t="s">
        <v>197</v>
      </c>
    </row>
    <row r="221" spans="1:2" ht="12.75">
      <c r="A221" s="119" t="str">
        <f>"- Intereses pagados y devengados"</f>
        <v>- Intereses pagados y devengados</v>
      </c>
      <c r="B221" s="124" t="s">
        <v>198</v>
      </c>
    </row>
    <row r="222" spans="1:2" ht="12.75">
      <c r="A222" s="119" t="str">
        <f>"- Reajustes pagados y devengados"</f>
        <v>- Reajustes pagados y devengados</v>
      </c>
      <c r="B222" s="124" t="str">
        <f>"- 5305 a 5400"</f>
        <v>- 5305 a 5400</v>
      </c>
    </row>
    <row r="223" spans="1:2" ht="12.75">
      <c r="A223" s="119" t="str">
        <f>"+ Utilidades de cambio"</f>
        <v>+ Utilidades de cambio</v>
      </c>
      <c r="B223" s="124" t="s">
        <v>199</v>
      </c>
    </row>
    <row r="224" spans="1:2" ht="12.75">
      <c r="A224" s="115" t="str">
        <f>"- Pérdidas de cambio"</f>
        <v>- Pérdidas de cambio</v>
      </c>
      <c r="B224" s="116" t="str">
        <f>"- 5705 a 5710"</f>
        <v>- 5705 a 5710</v>
      </c>
    </row>
    <row r="226" spans="1:2" ht="12.75">
      <c r="A226" s="188" t="s">
        <v>80</v>
      </c>
      <c r="B226" s="189"/>
    </row>
    <row r="227" spans="1:2" ht="12.75">
      <c r="A227" s="118"/>
      <c r="B227" s="118"/>
    </row>
    <row r="228" spans="1:2" ht="12.75">
      <c r="A228" s="122" t="str">
        <f>"  Comisiones percibidas y devengadas"</f>
        <v>  Comisiones percibidas y devengadas</v>
      </c>
      <c r="B228" s="124" t="s">
        <v>200</v>
      </c>
    </row>
    <row r="229" spans="1:2" ht="12.75">
      <c r="A229" s="126" t="str">
        <f>"- Comisiones pagadas y devengadas"</f>
        <v>- Comisiones pagadas y devengadas</v>
      </c>
      <c r="B229" s="116" t="str">
        <f>"- 5505 a 5530"</f>
        <v>- 5505 a 5530</v>
      </c>
    </row>
    <row r="231" spans="1:2" ht="12.75">
      <c r="A231" s="188" t="s">
        <v>201</v>
      </c>
      <c r="B231" s="189"/>
    </row>
    <row r="232" spans="1:2" ht="12.75">
      <c r="A232" s="118"/>
      <c r="B232" s="118"/>
    </row>
    <row r="233" spans="1:2" ht="12.75">
      <c r="A233" s="122"/>
      <c r="B233" s="122"/>
    </row>
    <row r="234" spans="1:2" ht="12.75">
      <c r="A234" s="126" t="s">
        <v>202</v>
      </c>
      <c r="B234" s="140" t="s">
        <v>203</v>
      </c>
    </row>
    <row r="236" spans="1:2" ht="12.75">
      <c r="A236" s="188" t="s">
        <v>204</v>
      </c>
      <c r="B236" s="189"/>
    </row>
    <row r="237" spans="1:2" ht="12.75">
      <c r="A237" s="117"/>
      <c r="B237" s="118"/>
    </row>
    <row r="238" spans="1:2" ht="12.75">
      <c r="A238" s="119" t="s">
        <v>205</v>
      </c>
      <c r="B238" s="124" t="s">
        <v>206</v>
      </c>
    </row>
    <row r="239" spans="1:2" ht="12.75">
      <c r="A239" s="119" t="str">
        <f>"- Pérdidas por diferencias de precio"</f>
        <v>- Pérdidas por diferencias de precio</v>
      </c>
      <c r="B239" s="124" t="str">
        <f>"- 5605 a 5650"</f>
        <v>- 5605 a 5650</v>
      </c>
    </row>
    <row r="240" spans="1:2" ht="12.75">
      <c r="A240" s="119" t="str">
        <f>"+ Otros Ingresos de operación"</f>
        <v>+ Otros Ingresos de operación</v>
      </c>
      <c r="B240" s="121">
        <v>7910</v>
      </c>
    </row>
    <row r="241" spans="1:2" ht="12.75">
      <c r="A241" s="119" t="str">
        <f>"- Otros gastos de operación"</f>
        <v>- Otros gastos de operación</v>
      </c>
      <c r="B241" s="124" t="str">
        <f>"- 5900"</f>
        <v>- 5900</v>
      </c>
    </row>
    <row r="242" spans="1:2" ht="12.75">
      <c r="A242" s="119" t="str">
        <f>"+ Corrección Monetaria (ingreso)"</f>
        <v>+ Corrección Monetaria (ingreso)</v>
      </c>
      <c r="B242" s="121">
        <v>8405</v>
      </c>
    </row>
    <row r="243" spans="1:2" ht="12.75">
      <c r="A243" s="115" t="str">
        <f>"- Corrección Monetaria (gasto)"</f>
        <v>- Corrección Monetaria (gasto)</v>
      </c>
      <c r="B243" s="128">
        <v>6405</v>
      </c>
    </row>
    <row r="245" spans="1:2" ht="12.75">
      <c r="A245" s="186" t="s">
        <v>82</v>
      </c>
      <c r="B245" s="187"/>
    </row>
    <row r="246" spans="1:2" ht="12.75">
      <c r="A246" s="117"/>
      <c r="B246" s="153"/>
    </row>
    <row r="247" spans="1:2" ht="12.75">
      <c r="A247" s="119" t="s">
        <v>207</v>
      </c>
      <c r="B247" s="154"/>
    </row>
    <row r="248" spans="1:2" ht="12.75">
      <c r="A248" s="119" t="str">
        <f>"+ Comisiones netas"</f>
        <v>+ Comisiones netas</v>
      </c>
      <c r="B248" s="154"/>
    </row>
    <row r="249" spans="1:2" ht="12.75">
      <c r="A249" s="119" t="str">
        <f>"+ Recuperación de colocaciones  e inversiones castigadas"</f>
        <v>+ Recuperación de colocaciones  e inversiones castigadas</v>
      </c>
      <c r="B249" s="154"/>
    </row>
    <row r="250" spans="1:2" ht="12.75">
      <c r="A250" s="115" t="str">
        <f>"+ Otros ingresos de operación netos"</f>
        <v>+ Otros ingresos de operación netos</v>
      </c>
      <c r="B250" s="155"/>
    </row>
    <row r="251" spans="1:2" ht="12.75">
      <c r="A251" s="6"/>
      <c r="B251" s="6"/>
    </row>
    <row r="252" spans="1:2" ht="12.75">
      <c r="A252" s="188" t="s">
        <v>83</v>
      </c>
      <c r="B252" s="189"/>
    </row>
    <row r="253" spans="1:2" ht="12.75">
      <c r="A253" s="118"/>
      <c r="B253" s="118"/>
    </row>
    <row r="254" spans="1:2" ht="12.75">
      <c r="A254" s="126" t="s">
        <v>83</v>
      </c>
      <c r="B254" s="116" t="s">
        <v>208</v>
      </c>
    </row>
    <row r="255" spans="1:2" ht="12.75">
      <c r="A255" s="6"/>
      <c r="B255" s="6"/>
    </row>
    <row r="256" spans="1:2" ht="12.75">
      <c r="A256" s="188" t="s">
        <v>49</v>
      </c>
      <c r="B256" s="189"/>
    </row>
    <row r="257" spans="1:2" ht="12.75">
      <c r="A257" s="118"/>
      <c r="B257" s="118"/>
    </row>
    <row r="258" spans="1:2" ht="12.75">
      <c r="A258" s="122" t="s">
        <v>209</v>
      </c>
      <c r="B258" s="124" t="s">
        <v>210</v>
      </c>
    </row>
    <row r="259" spans="1:2" ht="12.75">
      <c r="A259" s="126" t="s">
        <v>211</v>
      </c>
      <c r="B259" s="140" t="s">
        <v>212</v>
      </c>
    </row>
    <row r="261" spans="1:2" ht="12.75">
      <c r="A261" s="186" t="s">
        <v>84</v>
      </c>
      <c r="B261" s="187"/>
    </row>
    <row r="262" spans="1:2" ht="12.75">
      <c r="A262" s="117"/>
      <c r="B262" s="153"/>
    </row>
    <row r="263" spans="1:2" ht="12.75">
      <c r="A263" s="119" t="s">
        <v>213</v>
      </c>
      <c r="B263" s="154"/>
    </row>
    <row r="264" spans="1:2" ht="12.75">
      <c r="A264" s="119" t="str">
        <f>"- Gastos de apoyo operacional"</f>
        <v>- Gastos de apoyo operacional</v>
      </c>
      <c r="B264" s="154"/>
    </row>
    <row r="265" spans="1:2" ht="12.75">
      <c r="A265" s="115" t="str">
        <f>"- Gasto en provisiones"</f>
        <v>- Gasto en provisiones</v>
      </c>
      <c r="B265" s="155"/>
    </row>
    <row r="266" spans="1:2" ht="12.75">
      <c r="A266" s="63"/>
      <c r="B266" s="63"/>
    </row>
    <row r="267" spans="1:2" ht="12.75">
      <c r="A267" s="188" t="s">
        <v>237</v>
      </c>
      <c r="B267" s="189"/>
    </row>
    <row r="268" spans="1:2" ht="12.75">
      <c r="A268" s="118"/>
      <c r="B268" s="118"/>
    </row>
    <row r="269" spans="1:2" ht="12.75">
      <c r="A269" s="141" t="s">
        <v>215</v>
      </c>
      <c r="B269" s="142">
        <v>8350</v>
      </c>
    </row>
    <row r="270" spans="1:2" ht="12.75">
      <c r="A270" s="141" t="str">
        <f>"- Pérdidas por inversión en sociedades"</f>
        <v>- Pérdidas por inversión en sociedades</v>
      </c>
      <c r="B270" s="143">
        <v>6350</v>
      </c>
    </row>
    <row r="271" spans="1:2" ht="12.75">
      <c r="A271" s="119" t="str">
        <f>"+ Utilidades de sucursales en el exterior"</f>
        <v>+ Utilidades de sucursales en el exterior</v>
      </c>
      <c r="B271" s="121">
        <v>8320</v>
      </c>
    </row>
    <row r="272" spans="1:2" ht="12.75">
      <c r="A272" s="115" t="str">
        <f>"- Perdidas de sucursales en el exterior"</f>
        <v>- Perdidas de sucursales en el exterior</v>
      </c>
      <c r="B272" s="128">
        <v>6320</v>
      </c>
    </row>
    <row r="273" spans="1:2" ht="12.75">
      <c r="A273" s="63"/>
      <c r="B273" s="63"/>
    </row>
    <row r="274" spans="1:2" ht="12.75">
      <c r="A274" s="186" t="s">
        <v>238</v>
      </c>
      <c r="B274" s="187"/>
    </row>
    <row r="275" spans="1:2" ht="12.75">
      <c r="A275" s="190" t="s">
        <v>216</v>
      </c>
      <c r="B275" s="191"/>
    </row>
    <row r="276" spans="1:2" ht="12.75">
      <c r="A276" s="113"/>
      <c r="B276" s="144"/>
    </row>
    <row r="277" spans="1:2" ht="12.75">
      <c r="A277" s="156" t="s">
        <v>217</v>
      </c>
      <c r="B277" s="157"/>
    </row>
    <row r="278" spans="1:2" ht="12.75">
      <c r="A278" s="158" t="str">
        <f>"+ Utilidades de inversiones en sociedades y de sucurs. en el exterior"</f>
        <v>+ Utilidades de inversiones en sociedades y de sucurs. en el exterior</v>
      </c>
      <c r="B278" s="159"/>
    </row>
    <row r="279" spans="1:2" ht="12.75">
      <c r="A279" s="63"/>
      <c r="B279" s="63"/>
    </row>
    <row r="280" spans="1:2" ht="12.75">
      <c r="A280" s="188" t="s">
        <v>104</v>
      </c>
      <c r="B280" s="189"/>
    </row>
    <row r="281" spans="1:2" ht="12.75">
      <c r="A281" s="117"/>
      <c r="B281" s="118"/>
    </row>
    <row r="282" spans="1:2" ht="12.75">
      <c r="A282" s="119" t="s">
        <v>218</v>
      </c>
      <c r="B282" s="124" t="s">
        <v>219</v>
      </c>
    </row>
    <row r="283" spans="1:2" ht="12.75">
      <c r="A283" s="119" t="s">
        <v>220</v>
      </c>
      <c r="B283" s="121">
        <v>8115</v>
      </c>
    </row>
    <row r="284" spans="1:2" ht="12.75">
      <c r="A284" s="115" t="str">
        <f>"- Gastos no operacionales"</f>
        <v>- Gastos no operacionales</v>
      </c>
      <c r="B284" s="116" t="str">
        <f>"- 6305 a 6315"</f>
        <v>- 6305 a 6315</v>
      </c>
    </row>
    <row r="285" spans="1:2" ht="12.75">
      <c r="A285" s="63"/>
      <c r="B285" s="63"/>
    </row>
    <row r="286" spans="1:2" ht="12.75">
      <c r="A286" s="186" t="s">
        <v>99</v>
      </c>
      <c r="B286" s="187"/>
    </row>
    <row r="287" spans="1:2" ht="12.75">
      <c r="A287" s="117"/>
      <c r="B287" s="153"/>
    </row>
    <row r="288" spans="1:2" ht="12.75">
      <c r="A288" s="156" t="s">
        <v>239</v>
      </c>
      <c r="B288" s="154"/>
    </row>
    <row r="289" spans="1:2" ht="12.75">
      <c r="A289" s="156" t="s">
        <v>221</v>
      </c>
      <c r="B289" s="154"/>
    </row>
    <row r="290" spans="1:2" ht="12.75">
      <c r="A290" s="115" t="str">
        <f>"+ Otros ingresos netos"</f>
        <v>+ Otros ingresos netos</v>
      </c>
      <c r="B290" s="155"/>
    </row>
    <row r="291" spans="1:2" ht="12.75">
      <c r="A291" s="6"/>
      <c r="B291" s="6"/>
    </row>
    <row r="292" spans="1:2" ht="12.75">
      <c r="A292" s="188" t="s">
        <v>94</v>
      </c>
      <c r="B292" s="189"/>
    </row>
    <row r="293" spans="1:2" ht="12.75">
      <c r="A293" s="118"/>
      <c r="B293" s="118"/>
    </row>
    <row r="294" spans="1:2" ht="12.75">
      <c r="A294" s="145" t="s">
        <v>222</v>
      </c>
      <c r="B294" s="126">
        <v>6605</v>
      </c>
    </row>
    <row r="295" ht="12.75">
      <c r="A295" s="6"/>
    </row>
    <row r="296" spans="1:2" ht="12.75">
      <c r="A296" s="186" t="s">
        <v>85</v>
      </c>
      <c r="B296" s="187"/>
    </row>
    <row r="297" spans="1:2" ht="12.75">
      <c r="A297" s="117"/>
      <c r="B297" s="153"/>
    </row>
    <row r="298" spans="1:2" ht="12.75">
      <c r="A298" s="156" t="s">
        <v>223</v>
      </c>
      <c r="B298" s="154"/>
    </row>
    <row r="299" spans="1:2" ht="12.75">
      <c r="A299" s="115" t="str">
        <f>"- Impuestos"</f>
        <v>- Impuestos</v>
      </c>
      <c r="B299" s="155"/>
    </row>
    <row r="300" ht="12.75">
      <c r="A300" s="6"/>
    </row>
    <row r="301" spans="1:2" ht="12.75">
      <c r="A301" s="188" t="s">
        <v>126</v>
      </c>
      <c r="B301" s="189"/>
    </row>
    <row r="302" spans="1:2" ht="12.75">
      <c r="A302" s="113"/>
      <c r="B302" s="114"/>
    </row>
    <row r="303" spans="1:2" ht="12.75">
      <c r="A303" s="146" t="s">
        <v>126</v>
      </c>
      <c r="B303" s="126">
        <v>9602</v>
      </c>
    </row>
  </sheetData>
  <mergeCells count="40">
    <mergeCell ref="A146:B146"/>
    <mergeCell ref="A153:B153"/>
    <mergeCell ref="A161:B161"/>
    <mergeCell ref="A123:B123"/>
    <mergeCell ref="A127:B127"/>
    <mergeCell ref="A134:B134"/>
    <mergeCell ref="A79:B79"/>
    <mergeCell ref="A84:B84"/>
    <mergeCell ref="A102:B102"/>
    <mergeCell ref="A112:B112"/>
    <mergeCell ref="A12:B12"/>
    <mergeCell ref="A16:B16"/>
    <mergeCell ref="A47:B47"/>
    <mergeCell ref="A70:B70"/>
    <mergeCell ref="A166:B166"/>
    <mergeCell ref="A172:B172"/>
    <mergeCell ref="A176:B176"/>
    <mergeCell ref="A180:B180"/>
    <mergeCell ref="A184:B184"/>
    <mergeCell ref="A188:B188"/>
    <mergeCell ref="A192:B192"/>
    <mergeCell ref="A197:B197"/>
    <mergeCell ref="A202:B202"/>
    <mergeCell ref="A212:B212"/>
    <mergeCell ref="A217:B217"/>
    <mergeCell ref="A226:B226"/>
    <mergeCell ref="A231:B231"/>
    <mergeCell ref="A236:B236"/>
    <mergeCell ref="A245:B245"/>
    <mergeCell ref="A252:B252"/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portrait" scale="98" r:id="rId2"/>
  <rowBreaks count="6" manualBreakCount="6">
    <brk id="46" max="1" man="1"/>
    <brk id="83" max="1" man="1"/>
    <brk id="133" max="1" man="1"/>
    <brk id="182" max="1" man="1"/>
    <brk id="230" max="1" man="1"/>
    <brk id="27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Informaxción Financiera Mensual - Septiembre 2005</dc:title>
  <dc:subject/>
  <dc:creator>SBIF</dc:creator>
  <cp:keywords/>
  <dc:description/>
  <cp:lastModifiedBy>Juan Carlos Camus</cp:lastModifiedBy>
  <cp:lastPrinted>2005-10-21T11:46:24Z</cp:lastPrinted>
  <dcterms:created xsi:type="dcterms:W3CDTF">1998-06-19T14:09:35Z</dcterms:created>
  <dcterms:modified xsi:type="dcterms:W3CDTF">2005-10-21T11:46:36Z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1313056812</vt:i4>
  </property>
  <property fmtid="{D5CDD505-2E9C-101B-9397-08002B2CF9AE}" pid="3" name="_EmailSubject">
    <vt:lpwstr>Información Financiera Mensual a Septiembre de 2005 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