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16" windowWidth="13110" windowHeight="11205" activeTab="0"/>
  </bookViews>
  <sheets>
    <sheet name="Indice" sheetId="1" r:id="rId1"/>
    <sheet name="Información Sistema" sheetId="2" r:id="rId2"/>
    <sheet name="Activos-Pasivos Bancos" sheetId="3" r:id="rId3"/>
    <sheet name="Estado Resultados Bancos" sheetId="4" r:id="rId4"/>
    <sheet name="Indicadores Bancos" sheetId="5" r:id="rId5"/>
    <sheet name="Definiciones Usadas" sheetId="6" r:id="rId6"/>
  </sheets>
  <definedNames>
    <definedName name="_xlnm.Print_Area" localSheetId="2">'Activos-Pasivos Bancos'!$A$4:$P$48</definedName>
    <definedName name="_xlnm.Print_Area" localSheetId="5">'Definiciones Usadas'!$A$3:$B$304</definedName>
    <definedName name="_xlnm.Print_Area" localSheetId="3">'Estado Resultados Bancos'!$A$3:$Q$47</definedName>
    <definedName name="_xlnm.Print_Area" localSheetId="4">'Indicadores Bancos'!$A$3:$L$49</definedName>
    <definedName name="_xlnm.Print_Area" localSheetId="0">'Indice'!$A$1:$B$23</definedName>
    <definedName name="_xlnm.Print_Area" localSheetId="1">'Información Sistema'!$B$3:$F$74</definedName>
  </definedNames>
  <calcPr fullCalcOnLoad="1"/>
</workbook>
</file>

<file path=xl/sharedStrings.xml><?xml version="1.0" encoding="utf-8"?>
<sst xmlns="http://schemas.openxmlformats.org/spreadsheetml/2006/main" count="443" uniqueCount="261">
  <si>
    <t>Colocaciones</t>
  </si>
  <si>
    <t>Capital y</t>
  </si>
  <si>
    <t>totales</t>
  </si>
  <si>
    <t>reservas</t>
  </si>
  <si>
    <t>final</t>
  </si>
  <si>
    <t>Bice</t>
  </si>
  <si>
    <t>Corpbanca</t>
  </si>
  <si>
    <t>De Chile</t>
  </si>
  <si>
    <t>Del Desarrollo</t>
  </si>
  <si>
    <t>Internacional</t>
  </si>
  <si>
    <t>Santander-Chile</t>
  </si>
  <si>
    <t>Falabella</t>
  </si>
  <si>
    <t>Citibank N.A.</t>
  </si>
  <si>
    <t>Do Brasil S.A.</t>
  </si>
  <si>
    <t>De la Nación Argentina</t>
  </si>
  <si>
    <t>Sistema Financiero</t>
  </si>
  <si>
    <t>Bancos establecidos en Chile</t>
  </si>
  <si>
    <t xml:space="preserve">     </t>
  </si>
  <si>
    <t xml:space="preserve">       </t>
  </si>
  <si>
    <t>.</t>
  </si>
  <si>
    <t>Instituciones</t>
  </si>
  <si>
    <t>Scotiabank Sud Americano</t>
  </si>
  <si>
    <t>Ripley</t>
  </si>
  <si>
    <t>Sucursales de bancos extranjeros</t>
  </si>
  <si>
    <t>HNS Banco</t>
  </si>
  <si>
    <t>Bilbao Vizcaya Argentaria, Chile</t>
  </si>
  <si>
    <t>Monex</t>
  </si>
  <si>
    <t>Memo:</t>
  </si>
  <si>
    <t>ABN  Amro Bank (Chile)</t>
  </si>
  <si>
    <t>HSBC Bank (Chile)</t>
  </si>
  <si>
    <t>Penta</t>
  </si>
  <si>
    <t>Deutsche Bank (Chile)</t>
  </si>
  <si>
    <t>Security</t>
  </si>
  <si>
    <t>JP Morgan Chase Bank, N.A.</t>
  </si>
  <si>
    <t>BankBoston, N.A.</t>
  </si>
  <si>
    <t>Of Tokyo-Mitsubishi Ltd.</t>
  </si>
  <si>
    <t>Consumo</t>
  </si>
  <si>
    <t>vencidas</t>
  </si>
  <si>
    <t xml:space="preserve">Depósitos </t>
  </si>
  <si>
    <t>Comisiones</t>
  </si>
  <si>
    <t>netas</t>
  </si>
  <si>
    <t>castigadas</t>
  </si>
  <si>
    <t>Recuperac. de</t>
  </si>
  <si>
    <t>Otros</t>
  </si>
  <si>
    <t>Resultado</t>
  </si>
  <si>
    <t>operacional</t>
  </si>
  <si>
    <t>bruto</t>
  </si>
  <si>
    <t>Gastos de</t>
  </si>
  <si>
    <t>apoyo</t>
  </si>
  <si>
    <t>Gasto en provisiones</t>
  </si>
  <si>
    <t>Gasto en</t>
  </si>
  <si>
    <t>provisiones</t>
  </si>
  <si>
    <t>neto</t>
  </si>
  <si>
    <t>netos</t>
  </si>
  <si>
    <t>ingresos</t>
  </si>
  <si>
    <t xml:space="preserve">antes de </t>
  </si>
  <si>
    <t>impuestos</t>
  </si>
  <si>
    <t>más difer.</t>
  </si>
  <si>
    <t>de cambio net.</t>
  </si>
  <si>
    <t>Marg. de inter.</t>
  </si>
  <si>
    <t>Notas:</t>
  </si>
  <si>
    <t>Inversiones</t>
  </si>
  <si>
    <t>Activos</t>
  </si>
  <si>
    <t>contingentes</t>
  </si>
  <si>
    <t>BALANCE</t>
  </si>
  <si>
    <t>Monto</t>
  </si>
  <si>
    <t>MM$</t>
  </si>
  <si>
    <t>mes anterior</t>
  </si>
  <si>
    <t>12 meses</t>
  </si>
  <si>
    <t xml:space="preserve">Colocaciones totales  </t>
  </si>
  <si>
    <t>Inversiones totales</t>
  </si>
  <si>
    <t>Activos totales</t>
  </si>
  <si>
    <t>Depósitos totales</t>
  </si>
  <si>
    <t>Capital y reservas</t>
  </si>
  <si>
    <t>Colocaciones contingentes</t>
  </si>
  <si>
    <t>Contratos de leasing totales</t>
  </si>
  <si>
    <t>Colocaciones vencidas</t>
  </si>
  <si>
    <t>Colocaciones totales netas de contingentes</t>
  </si>
  <si>
    <t>ESTADO DE RESULTADOS</t>
  </si>
  <si>
    <t>Monto acumul.</t>
  </si>
  <si>
    <t>Comisiones netas</t>
  </si>
  <si>
    <t>Otros ingresos de operación netos</t>
  </si>
  <si>
    <t>Resultado operacional bruto</t>
  </si>
  <si>
    <t>Gastos de apoyo operacional</t>
  </si>
  <si>
    <t>Resultado operacional neto</t>
  </si>
  <si>
    <t>Resultado final</t>
  </si>
  <si>
    <t>Riesgo</t>
  </si>
  <si>
    <t>Colocaciones totales</t>
  </si>
  <si>
    <t>Provisiones de coloc.</t>
  </si>
  <si>
    <t>Coloc. vencidas</t>
  </si>
  <si>
    <t>Eficiencia</t>
  </si>
  <si>
    <t>(Cifras en millones de pesos)</t>
  </si>
  <si>
    <t>(Cifras en porcentajes)</t>
  </si>
  <si>
    <t>Operaciones de factoraje</t>
  </si>
  <si>
    <t>Impuestos</t>
  </si>
  <si>
    <t>Personas</t>
  </si>
  <si>
    <t>Totales</t>
  </si>
  <si>
    <t>Empresas</t>
  </si>
  <si>
    <t>en socied.</t>
  </si>
  <si>
    <t>Resultado antes de impuestos</t>
  </si>
  <si>
    <t xml:space="preserve">   - Personas</t>
  </si>
  <si>
    <t xml:space="preserve">   - Empresas</t>
  </si>
  <si>
    <t xml:space="preserve"> - Depósitos a plazo</t>
  </si>
  <si>
    <t>Fuente: Superintendencia de Bancos e Instituciones Financieras (Chile)</t>
  </si>
  <si>
    <t>Otros ingresos netos</t>
  </si>
  <si>
    <t>Plazo</t>
  </si>
  <si>
    <t>Vivienda</t>
  </si>
  <si>
    <t>París</t>
  </si>
  <si>
    <t xml:space="preserve">París </t>
  </si>
  <si>
    <t>Gastos de apoyo op.</t>
  </si>
  <si>
    <t>Antes de imptos.</t>
  </si>
  <si>
    <t>Después de imptos.</t>
  </si>
  <si>
    <t xml:space="preserve"> Activos totales</t>
  </si>
  <si>
    <t>Result. operc. bruto</t>
  </si>
  <si>
    <t>Definiciones</t>
  </si>
  <si>
    <t>Obligaciones con el exterior</t>
  </si>
  <si>
    <t>Instrumentos de deuda emitidos</t>
  </si>
  <si>
    <t xml:space="preserve"> - Letras de crédito</t>
  </si>
  <si>
    <t xml:space="preserve"> - Bonos ordinarios</t>
  </si>
  <si>
    <t xml:space="preserve"> - Bonos subordinados</t>
  </si>
  <si>
    <t>Instrumentos</t>
  </si>
  <si>
    <t>de deuda</t>
  </si>
  <si>
    <t>emitidos</t>
  </si>
  <si>
    <t xml:space="preserve">        - Comerciales</t>
  </si>
  <si>
    <t xml:space="preserve">        - Comercio exterior</t>
  </si>
  <si>
    <t xml:space="preserve">        - Interbancarias</t>
  </si>
  <si>
    <t xml:space="preserve">        - Consumo</t>
  </si>
  <si>
    <t xml:space="preserve">        - Vivienda</t>
  </si>
  <si>
    <t>Castigos del ejercicio</t>
  </si>
  <si>
    <t>Castigos</t>
  </si>
  <si>
    <t>del</t>
  </si>
  <si>
    <t>ejercicio</t>
  </si>
  <si>
    <t xml:space="preserve"> - Depósitos vista netos de canje</t>
  </si>
  <si>
    <t>Variación real respecto a: (%)</t>
  </si>
  <si>
    <t>mes anterior (1)</t>
  </si>
  <si>
    <t>12 meses (2)</t>
  </si>
  <si>
    <t>(2) Corresponde a la variación real entre los resultados acumulados a la fecha y los obtenidos a igual fecha del año anterior.</t>
  </si>
  <si>
    <t>Variación real respecto a:(%)</t>
  </si>
  <si>
    <t>Vista netos</t>
  </si>
  <si>
    <t>de canje</t>
  </si>
  <si>
    <t>Del Estado de Chile</t>
  </si>
  <si>
    <t>De Crédito e Inversiones    (1)</t>
  </si>
  <si>
    <t>(3) El deflactor utilizado corresponde a la unidad de fomento (UF).</t>
  </si>
  <si>
    <t>(1) Corresponde a la variación real entre los resultados del mes, respecto de los registrados durante el mes anterior.</t>
  </si>
  <si>
    <t>Para Imprimir: Control+P</t>
  </si>
  <si>
    <t>Para Guardar: F12</t>
  </si>
  <si>
    <t>PRINCIPALES ACTIVOS, PASIVOS Y RESULTADOS</t>
  </si>
  <si>
    <t>DEL SISTEMA FINANCIERO CHILENO</t>
  </si>
  <si>
    <t>Bancos</t>
  </si>
  <si>
    <t>Principales Activos, Pasivos y Resultados del Sistema Financiero</t>
  </si>
  <si>
    <t>Indicadores por Instituciones</t>
  </si>
  <si>
    <t>Volver</t>
  </si>
  <si>
    <t>Definiciones usadas en este documento</t>
  </si>
  <si>
    <t>Principales Activos y Pasivos por Instituciones</t>
  </si>
  <si>
    <t>Estado de Resultado por Instituciones</t>
  </si>
  <si>
    <t>Concepto</t>
  </si>
  <si>
    <t>N° de Partida o de cuenta</t>
  </si>
  <si>
    <t xml:space="preserve">   Ptmos. comerciales (hasta 1 año)</t>
  </si>
  <si>
    <t xml:space="preserve"> + 1350 001</t>
  </si>
  <si>
    <t xml:space="preserve"> + 1350 004</t>
  </si>
  <si>
    <t xml:space="preserve"> + 1350 007</t>
  </si>
  <si>
    <t xml:space="preserve"> + 1421 001</t>
  </si>
  <si>
    <t xml:space="preserve"> + 1350 999</t>
  </si>
  <si>
    <t>+ Dividendos hipot. reprogramados</t>
  </si>
  <si>
    <t>Colocaciones comerciales</t>
  </si>
  <si>
    <t>Colocaciones de comercio exterior</t>
  </si>
  <si>
    <t xml:space="preserve">   Créditos importación (hasta 1 año)</t>
  </si>
  <si>
    <t>Colocaciones interbancarias</t>
  </si>
  <si>
    <t xml:space="preserve">   Ptmos. a instituciones financieras (hasta 1 año)</t>
  </si>
  <si>
    <t>Colocaciones a Personas</t>
  </si>
  <si>
    <t>Ptmos. de consumo (hasta 1 año)</t>
  </si>
  <si>
    <t xml:space="preserve"> + 1350 002</t>
  </si>
  <si>
    <t xml:space="preserve"> + 1350 005</t>
  </si>
  <si>
    <t xml:space="preserve"> + 1350 008</t>
  </si>
  <si>
    <t xml:space="preserve"> + 1421 002</t>
  </si>
  <si>
    <t>+ Ptmos. hipot. endosables para vivienda</t>
  </si>
  <si>
    <t xml:space="preserve"> + 1350 003</t>
  </si>
  <si>
    <t xml:space="preserve"> + 1350 006</t>
  </si>
  <si>
    <t xml:space="preserve"> + 1350 009</t>
  </si>
  <si>
    <t xml:space="preserve"> + 1421 003</t>
  </si>
  <si>
    <t xml:space="preserve">   Créditos hipotecarios para vivienda</t>
  </si>
  <si>
    <t>1705 a 1775</t>
  </si>
  <si>
    <t xml:space="preserve">   Total activo contable</t>
  </si>
  <si>
    <t>1005 a 2525</t>
  </si>
  <si>
    <t xml:space="preserve">   Acreedores en cuentas corrientes</t>
  </si>
  <si>
    <t>Depósitos a plazo</t>
  </si>
  <si>
    <t>Ptmos. y otras obligaciones con el exterior</t>
  </si>
  <si>
    <t>3505 a 3570</t>
  </si>
  <si>
    <t>3305 a 3315</t>
  </si>
  <si>
    <t xml:space="preserve"> + Bonos subordinados</t>
  </si>
  <si>
    <t>Letras de crédito</t>
  </si>
  <si>
    <t>Bonos ordinarios</t>
  </si>
  <si>
    <t>Bonos subordinados</t>
  </si>
  <si>
    <t>4305 a 4405</t>
  </si>
  <si>
    <t>1401 a 1421</t>
  </si>
  <si>
    <t xml:space="preserve">   Contratos de leasing</t>
  </si>
  <si>
    <t xml:space="preserve">   Operaciones de factoraje</t>
  </si>
  <si>
    <t>Margen de intereses más diferencias de cambio netas</t>
  </si>
  <si>
    <t xml:space="preserve">   Intereses percibidos y devengados</t>
  </si>
  <si>
    <t>7105 a 7200</t>
  </si>
  <si>
    <t>7305 a 7400</t>
  </si>
  <si>
    <t xml:space="preserve"> - 5105 a 5200</t>
  </si>
  <si>
    <t>7705 a 7710</t>
  </si>
  <si>
    <t>7505 a 7530</t>
  </si>
  <si>
    <t>Recuperación de colocaciones castigadas</t>
  </si>
  <si>
    <t>Recuperación de colocaciones e inversiones castigadas</t>
  </si>
  <si>
    <t xml:space="preserve"> + 6110 023 a 6110 026</t>
  </si>
  <si>
    <t>Otros ingresos  de operación netos</t>
  </si>
  <si>
    <t xml:space="preserve">  Utilidades por diferencias de precio</t>
  </si>
  <si>
    <t>7605 a 7650</t>
  </si>
  <si>
    <t xml:space="preserve">   Margen de intereses más diferencias de cambio</t>
  </si>
  <si>
    <t>6205 a 6290</t>
  </si>
  <si>
    <t xml:space="preserve">   Provisiones y castigos por activos</t>
  </si>
  <si>
    <t>6110 a 6140</t>
  </si>
  <si>
    <t xml:space="preserve"> - Recuperación de colocaciones castigadas</t>
  </si>
  <si>
    <t xml:space="preserve"> - 6110 023 a 6110 026</t>
  </si>
  <si>
    <t xml:space="preserve">  Resultado operacional bruto</t>
  </si>
  <si>
    <t>Utilidades de inversiones en sociedades y de sucurs. en el exterior</t>
  </si>
  <si>
    <t xml:space="preserve">  Ingresos por inversión en sociedades</t>
  </si>
  <si>
    <t>sucursales en el exterior</t>
  </si>
  <si>
    <t xml:space="preserve">   Resultado operacional neto</t>
  </si>
  <si>
    <t>Ingresos no operacionales</t>
  </si>
  <si>
    <t>8305 a 8315</t>
  </si>
  <si>
    <t xml:space="preserve"> + recuperación de gastos</t>
  </si>
  <si>
    <t xml:space="preserve">   y de sucursales en el exterior</t>
  </si>
  <si>
    <t>Impuesto a la renta</t>
  </si>
  <si>
    <t xml:space="preserve">   Resultado antes de impuestos</t>
  </si>
  <si>
    <t>Result. oper. neto después util. de invers. en soc. y suc. ext.</t>
  </si>
  <si>
    <t>Util. de invers.</t>
  </si>
  <si>
    <t>Res. op. neto</t>
  </si>
  <si>
    <t>colocaciones</t>
  </si>
  <si>
    <t>desp. ut. inv. en</t>
  </si>
  <si>
    <t>y suc. ext.</t>
  </si>
  <si>
    <t>soc. y suc. exter.</t>
  </si>
  <si>
    <t>ingresos de</t>
  </si>
  <si>
    <t>operación netos</t>
  </si>
  <si>
    <t>Colocaciones a Empresas</t>
  </si>
  <si>
    <t>Colocaciones de consumo</t>
  </si>
  <si>
    <t>Colocaciones de vivienda</t>
  </si>
  <si>
    <t>Depósitos a la vista netos de canje</t>
  </si>
  <si>
    <t>Utilidades de inversiones en sociedades y de sucursales en el exterior</t>
  </si>
  <si>
    <t>Resultado operacional neto después de util. de inversión en sociedades y</t>
  </si>
  <si>
    <t xml:space="preserve">   Resultado operacional neto después de util. de invers. en sociedades</t>
  </si>
  <si>
    <t>1110 a 1660</t>
  </si>
  <si>
    <t>1110 a 1421</t>
  </si>
  <si>
    <t>dic'2004</t>
  </si>
  <si>
    <t>---</t>
  </si>
  <si>
    <t xml:space="preserve"> AL MES DE JULIO DE 2005 </t>
  </si>
  <si>
    <t>PRINCIPALES ACTIVOS Y PASIVOS POR INSTITUCIONES AL MES DE JULIO DE 2005</t>
  </si>
  <si>
    <t>ESTRUCTURA DEL ESTADO DE RESULTADOS POR INSTITUCIONES AL MES DE JULIO DE 2005</t>
  </si>
  <si>
    <t>INDICADORES POR INSTITUCIONES AL MES DE JULIO DE 2005</t>
  </si>
  <si>
    <t>Reporte de Información Financiera Mensual - Julio de 2005</t>
  </si>
  <si>
    <t>Nota:</t>
  </si>
  <si>
    <t>(2) Las variaciones son reales y usan como deflactor la unidad de fomento (UF).</t>
  </si>
  <si>
    <t>(3) Los porcentajes de rentabilidad se determinan anualizando las cifras de resultados (dividiendo estos últimos por el número de meses transcurridos y luego multiplicándolos por doce).</t>
  </si>
  <si>
    <t>(4) Esta institución está afecta a un régimen impositivo distinto que el del resto de la banca.</t>
  </si>
  <si>
    <t>Actividad (variación en doce meses)  (2)</t>
  </si>
  <si>
    <t>Rentabilidad s/Capital y reservas  (3)</t>
  </si>
  <si>
    <t>Del Estado de Chile    (4)</t>
  </si>
  <si>
    <t>(1) El 30 de junio de 2005 Banco de Crédito e Inversiones adsorbió al ex Banco Conosur.</t>
  </si>
  <si>
    <t>Nota: Informe publicado el 24/08/2005 y actualizado el 25/08/2005 por cambios en datos de Deutsche Bank (Chile)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</si>
</sst>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_);\(#,##0&quot;Pts&quot;\)"/>
    <numFmt numFmtId="173" formatCode="#,##0&quot;Pts&quot;_);[Red]\(#,##0&quot;Pts&quot;\)"/>
    <numFmt numFmtId="174" formatCode="#,##0.00&quot;Pts&quot;_);\(#,##0.00&quot;Pts&quot;\)"/>
    <numFmt numFmtId="175" formatCode="#,##0.00&quot;Pts&quot;_);[Red]\(#,##0.00&quot;Pts&quot;\)"/>
    <numFmt numFmtId="176" formatCode="_ * #,##0_)&quot;Pts&quot;_ ;_ * \(#,##0\)&quot;Pts&quot;_ ;_ * &quot;-&quot;_)&quot;Pts&quot;_ ;_ @_ "/>
    <numFmt numFmtId="177" formatCode="_ * #,##0_)_P_t_s_ ;_ * \(#,##0\)_P_t_s_ ;_ * &quot;-&quot;_)_P_t_s_ ;_ @_ "/>
    <numFmt numFmtId="178" formatCode="_ * #,##0.00_)&quot;Pts&quot;_ ;_ * \(#,##0.00\)&quot;Pts&quot;_ ;_ * &quot;-&quot;??_)&quot;Pts&quot;_ ;_ @_ "/>
    <numFmt numFmtId="179" formatCode="_ * #,##0.00_)_P_t_s_ ;_ * \(#,##0.00\)_P_t_s_ ;_ * &quot;-&quot;??_)_P_t_s_ ;_ @_ "/>
    <numFmt numFmtId="180" formatCode="0.0%"/>
    <numFmt numFmtId="181" formatCode="0.000%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#,##0.0"/>
    <numFmt numFmtId="188" formatCode="0.0"/>
    <numFmt numFmtId="189" formatCode="\+\ General"/>
    <numFmt numFmtId="190" formatCode="\-\ General"/>
  </numFmts>
  <fonts count="21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4" fontId="9" fillId="2" borderId="0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2" fontId="11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2" fontId="10" fillId="2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0" fontId="13" fillId="2" borderId="0" xfId="0" applyNumberFormat="1" applyFont="1" applyFill="1" applyAlignment="1">
      <alignment/>
    </xf>
    <xf numFmtId="3" fontId="8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top"/>
    </xf>
    <xf numFmtId="10" fontId="8" fillId="2" borderId="8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2" fontId="11" fillId="2" borderId="1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0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8" fillId="2" borderId="19" xfId="0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 quotePrefix="1">
      <alignment horizontal="center"/>
    </xf>
    <xf numFmtId="4" fontId="10" fillId="2" borderId="16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0" fillId="2" borderId="16" xfId="0" applyNumberFormat="1" applyFont="1" applyFill="1" applyBorder="1" applyAlignment="1" quotePrefix="1">
      <alignment horizontal="center"/>
    </xf>
    <xf numFmtId="4" fontId="8" fillId="2" borderId="0" xfId="0" applyNumberFormat="1" applyFont="1" applyFill="1" applyBorder="1" applyAlignment="1">
      <alignment horizontal="center"/>
    </xf>
    <xf numFmtId="180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2" borderId="0" xfId="15" applyFont="1" applyFill="1" applyAlignment="1">
      <alignment/>
    </xf>
    <xf numFmtId="0" fontId="18" fillId="2" borderId="0" xfId="15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2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4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189" fontId="10" fillId="2" borderId="16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/>
    </xf>
    <xf numFmtId="189" fontId="11" fillId="2" borderId="0" xfId="0" applyNumberFormat="1" applyFont="1" applyFill="1" applyBorder="1" applyAlignment="1">
      <alignment horizontal="right"/>
    </xf>
    <xf numFmtId="190" fontId="10" fillId="2" borderId="16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/>
    </xf>
    <xf numFmtId="190" fontId="10" fillId="2" borderId="14" xfId="0" applyNumberFormat="1" applyFont="1" applyFill="1" applyBorder="1" applyAlignment="1">
      <alignment/>
    </xf>
    <xf numFmtId="189" fontId="10" fillId="2" borderId="16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189" fontId="10" fillId="2" borderId="12" xfId="0" applyNumberFormat="1" applyFont="1" applyFill="1" applyBorder="1" applyAlignment="1">
      <alignment/>
    </xf>
    <xf numFmtId="190" fontId="10" fillId="2" borderId="16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16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0" fontId="20" fillId="2" borderId="23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190" fontId="20" fillId="2" borderId="14" xfId="0" applyNumberFormat="1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/>
    </xf>
    <xf numFmtId="0" fontId="10" fillId="2" borderId="16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 quotePrefix="1">
      <alignment horizontal="center"/>
    </xf>
    <xf numFmtId="2" fontId="10" fillId="2" borderId="7" xfId="0" applyNumberFormat="1" applyFont="1" applyFill="1" applyBorder="1" applyAlignment="1" quotePrefix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2" fontId="10" fillId="2" borderId="10" xfId="0" applyNumberFormat="1" applyFont="1" applyFill="1" applyBorder="1" applyAlignment="1" quotePrefix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0" fillId="2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0</xdr:col>
      <xdr:colOff>1438275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1</xdr:col>
      <xdr:colOff>1181100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133350</xdr:rowOff>
    </xdr:from>
    <xdr:to>
      <xdr:col>0</xdr:col>
      <xdr:colOff>1314450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0</xdr:col>
      <xdr:colOff>1590675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66675</xdr:rowOff>
    </xdr:from>
    <xdr:to>
      <xdr:col>0</xdr:col>
      <xdr:colOff>1419225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0</xdr:rowOff>
    </xdr:from>
    <xdr:to>
      <xdr:col>0</xdr:col>
      <xdr:colOff>1438275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2.625" style="3" customWidth="1"/>
    <col min="2" max="2" width="77.875" style="3" customWidth="1"/>
    <col min="3" max="16384" width="12.00390625" style="3" customWidth="1"/>
  </cols>
  <sheetData>
    <row r="2" ht="12.75"/>
    <row r="3" ht="12.75"/>
    <row r="4" ht="12.75"/>
    <row r="5" ht="12.75"/>
    <row r="6" ht="15.75">
      <c r="B6" s="108" t="s">
        <v>251</v>
      </c>
    </row>
    <row r="9" ht="12.75">
      <c r="B9" s="109" t="s">
        <v>15</v>
      </c>
    </row>
    <row r="11" ht="12.75">
      <c r="B11" s="110" t="s">
        <v>149</v>
      </c>
    </row>
    <row r="13" ht="12.75">
      <c r="B13" s="109" t="s">
        <v>148</v>
      </c>
    </row>
    <row r="15" ht="12.75">
      <c r="B15" s="110" t="s">
        <v>153</v>
      </c>
    </row>
    <row r="17" ht="12.75">
      <c r="B17" s="110" t="s">
        <v>154</v>
      </c>
    </row>
    <row r="19" ht="12.75">
      <c r="B19" s="110" t="s">
        <v>150</v>
      </c>
    </row>
    <row r="21" ht="12.75">
      <c r="B21" s="110" t="s">
        <v>152</v>
      </c>
    </row>
    <row r="24" ht="25.5">
      <c r="B24" s="190" t="s">
        <v>260</v>
      </c>
    </row>
  </sheetData>
  <hyperlinks>
    <hyperlink ref="B11" location="'Información Sistema'!A1" display="Principales Activos, Pasivos y Resultados del Sistema Financiero"/>
    <hyperlink ref="B15" location="'Activos-Pasivos Bancos'!A1" display="Principales activos y pasivos por instituciones"/>
    <hyperlink ref="B17" location="'Estado Resultados Bancos'!A1" display="Estado de resultado por Instituciones"/>
    <hyperlink ref="B19" location="'Indicadores Bancos'!A1" display="Indicadores por Instituciones"/>
    <hyperlink ref="B21" location="'Definiciones Usadas'!A1" display="Definiciones usadas en este documento"/>
  </hyperlinks>
  <printOptions/>
  <pageMargins left="0.75" right="0.75" top="1" bottom="1" header="0" footer="0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workbookViewId="0" topLeftCell="A1">
      <selection activeCell="F1" sqref="F1"/>
    </sheetView>
  </sheetViews>
  <sheetFormatPr defaultColWidth="11.00390625" defaultRowHeight="12.75"/>
  <cols>
    <col min="1" max="1" width="12.00390625" style="3" customWidth="1"/>
    <col min="2" max="2" width="66.875" style="3" customWidth="1"/>
    <col min="3" max="3" width="16.875" style="3" customWidth="1"/>
    <col min="4" max="4" width="18.00390625" style="3" bestFit="1" customWidth="1"/>
    <col min="5" max="6" width="16.875" style="3" customWidth="1"/>
    <col min="7" max="16384" width="12.00390625" style="3" customWidth="1"/>
  </cols>
  <sheetData>
    <row r="1" spans="1:6" ht="12.75">
      <c r="A1" s="107" t="s">
        <v>144</v>
      </c>
      <c r="F1" s="111" t="s">
        <v>151</v>
      </c>
    </row>
    <row r="2" ht="12.75">
      <c r="A2" s="107" t="s">
        <v>145</v>
      </c>
    </row>
    <row r="3" spans="1:6" ht="15.75">
      <c r="A3" s="107"/>
      <c r="B3" s="173" t="s">
        <v>146</v>
      </c>
      <c r="C3" s="173"/>
      <c r="D3" s="173"/>
      <c r="E3" s="173"/>
      <c r="F3" s="173"/>
    </row>
    <row r="4" spans="2:6" ht="15.75">
      <c r="B4" s="173" t="s">
        <v>147</v>
      </c>
      <c r="C4" s="173"/>
      <c r="D4" s="173"/>
      <c r="E4" s="173"/>
      <c r="F4" s="173"/>
    </row>
    <row r="5" spans="2:6" ht="15.75">
      <c r="B5" s="1" t="s">
        <v>247</v>
      </c>
      <c r="C5" s="4"/>
      <c r="D5" s="2"/>
      <c r="E5" s="2"/>
      <c r="F5" s="5"/>
    </row>
    <row r="6" spans="2:6" ht="12" customHeight="1">
      <c r="B6" s="1"/>
      <c r="C6" s="4"/>
      <c r="D6" s="2"/>
      <c r="E6" s="2"/>
      <c r="F6" s="5"/>
    </row>
    <row r="7" spans="2:6" ht="12.75">
      <c r="B7" s="176" t="s">
        <v>64</v>
      </c>
      <c r="C7" s="177"/>
      <c r="D7" s="177"/>
      <c r="E7" s="177"/>
      <c r="F7" s="178"/>
    </row>
    <row r="8" spans="2:6" ht="9" customHeight="1">
      <c r="B8" s="6"/>
      <c r="C8" s="6"/>
      <c r="D8" s="6"/>
      <c r="E8" s="6"/>
      <c r="F8" s="6"/>
    </row>
    <row r="9" spans="2:6" ht="12.75">
      <c r="B9" s="7"/>
      <c r="C9" s="8" t="s">
        <v>65</v>
      </c>
      <c r="D9" s="9" t="s">
        <v>137</v>
      </c>
      <c r="E9" s="10"/>
      <c r="F9" s="11"/>
    </row>
    <row r="10" spans="2:6" ht="12.75">
      <c r="B10" s="12"/>
      <c r="C10" s="13" t="s">
        <v>66</v>
      </c>
      <c r="D10" s="14" t="s">
        <v>67</v>
      </c>
      <c r="E10" s="14" t="s">
        <v>245</v>
      </c>
      <c r="F10" s="14" t="s">
        <v>68</v>
      </c>
    </row>
    <row r="11" spans="2:6" ht="9" customHeight="1">
      <c r="B11" s="15"/>
      <c r="C11" s="16"/>
      <c r="D11" s="17"/>
      <c r="E11" s="17"/>
      <c r="F11" s="17"/>
    </row>
    <row r="12" spans="2:6" ht="12.75">
      <c r="B12" s="18" t="s">
        <v>69</v>
      </c>
      <c r="C12" s="19">
        <v>41125938.5783</v>
      </c>
      <c r="D12" s="20">
        <v>-0.135146066957553</v>
      </c>
      <c r="E12" s="20">
        <v>7.23284348297871</v>
      </c>
      <c r="F12" s="20">
        <v>11.1296544985936</v>
      </c>
    </row>
    <row r="13" spans="2:6" ht="16.5" customHeight="1">
      <c r="B13" s="21" t="s">
        <v>101</v>
      </c>
      <c r="C13" s="22">
        <v>27884979.454</v>
      </c>
      <c r="D13" s="23">
        <v>-0.842073799307678</v>
      </c>
      <c r="E13" s="23">
        <v>6.63562292452389</v>
      </c>
      <c r="F13" s="23">
        <v>8.13816024293681</v>
      </c>
    </row>
    <row r="14" spans="2:6" ht="12.75">
      <c r="B14" s="24" t="s">
        <v>123</v>
      </c>
      <c r="C14" s="25">
        <v>23485027.0286</v>
      </c>
      <c r="D14" s="26">
        <v>0.140108741592613</v>
      </c>
      <c r="E14" s="26">
        <v>5.66725010289118</v>
      </c>
      <c r="F14" s="26">
        <v>9.43932203721942</v>
      </c>
    </row>
    <row r="15" spans="2:6" ht="12.75">
      <c r="B15" s="24" t="s">
        <v>124</v>
      </c>
      <c r="C15" s="25">
        <v>3760096.3568</v>
      </c>
      <c r="D15" s="26">
        <v>-3.7240792671455</v>
      </c>
      <c r="E15" s="26">
        <v>9.49426280539388</v>
      </c>
      <c r="F15" s="26">
        <v>-3.7312604070267</v>
      </c>
    </row>
    <row r="16" spans="2:6" ht="12.75">
      <c r="B16" s="24" t="s">
        <v>125</v>
      </c>
      <c r="C16" s="25">
        <v>639856.0686</v>
      </c>
      <c r="D16" s="26">
        <v>-16.2574617707613</v>
      </c>
      <c r="E16" s="26">
        <v>30.512034575065</v>
      </c>
      <c r="F16" s="26">
        <v>51.9126652069585</v>
      </c>
    </row>
    <row r="17" spans="2:6" ht="12.75">
      <c r="B17" s="21" t="s">
        <v>100</v>
      </c>
      <c r="C17" s="22">
        <v>13240959.1236</v>
      </c>
      <c r="D17" s="23">
        <v>1.387086860948</v>
      </c>
      <c r="E17" s="23">
        <v>8.51270777752444</v>
      </c>
      <c r="F17" s="23">
        <v>18.0044278385803</v>
      </c>
    </row>
    <row r="18" spans="2:6" ht="12.75">
      <c r="B18" s="24" t="s">
        <v>126</v>
      </c>
      <c r="C18" s="25">
        <v>4877995.24</v>
      </c>
      <c r="D18" s="26">
        <v>1.32650202425279</v>
      </c>
      <c r="E18" s="26">
        <v>9.91149902127836</v>
      </c>
      <c r="F18" s="26">
        <v>20.0358293169685</v>
      </c>
    </row>
    <row r="19" spans="2:6" ht="12.75">
      <c r="B19" s="24" t="s">
        <v>127</v>
      </c>
      <c r="C19" s="25">
        <v>8362963.8836</v>
      </c>
      <c r="D19" s="26">
        <v>1.4224585807713</v>
      </c>
      <c r="E19" s="26">
        <v>7.71313209126527</v>
      </c>
      <c r="F19" s="26">
        <v>16.8509789024723</v>
      </c>
    </row>
    <row r="20" spans="2:6" ht="9" customHeight="1">
      <c r="B20" s="24"/>
      <c r="C20" s="25"/>
      <c r="D20" s="26"/>
      <c r="E20" s="26"/>
      <c r="F20" s="26"/>
    </row>
    <row r="21" spans="2:6" ht="12.75">
      <c r="B21" s="21" t="s">
        <v>70</v>
      </c>
      <c r="C21" s="22">
        <v>9472339.7994</v>
      </c>
      <c r="D21" s="23">
        <v>0.811993029876147</v>
      </c>
      <c r="E21" s="23">
        <v>0.306093540573029</v>
      </c>
      <c r="F21" s="23">
        <v>2.09159616132548</v>
      </c>
    </row>
    <row r="22" spans="2:6" ht="12.75">
      <c r="B22" s="24"/>
      <c r="C22" s="25"/>
      <c r="D22" s="26"/>
      <c r="E22" s="26"/>
      <c r="F22" s="26"/>
    </row>
    <row r="23" spans="2:6" ht="12.75">
      <c r="B23" s="27" t="s">
        <v>71</v>
      </c>
      <c r="C23" s="28">
        <v>58036130.5243</v>
      </c>
      <c r="D23" s="29">
        <v>-1.26506208243472</v>
      </c>
      <c r="E23" s="29">
        <v>6.91362910407419</v>
      </c>
      <c r="F23" s="29">
        <v>10.0993482830892</v>
      </c>
    </row>
    <row r="24" spans="2:6" ht="9" customHeight="1">
      <c r="B24" s="30"/>
      <c r="C24" s="31"/>
      <c r="D24" s="32"/>
      <c r="E24" s="32"/>
      <c r="F24" s="32"/>
    </row>
    <row r="25" spans="2:6" ht="12.75">
      <c r="B25" s="18" t="s">
        <v>72</v>
      </c>
      <c r="C25" s="19">
        <v>33637490.7096</v>
      </c>
      <c r="D25" s="20">
        <v>-0.0643533687286739</v>
      </c>
      <c r="E25" s="20">
        <v>12.7311706248569</v>
      </c>
      <c r="F25" s="20">
        <v>15.5664707565096</v>
      </c>
    </row>
    <row r="26" spans="2:6" ht="12.75">
      <c r="B26" s="24" t="s">
        <v>132</v>
      </c>
      <c r="C26" s="25">
        <v>7402704.2835</v>
      </c>
      <c r="D26" s="26">
        <v>-3.87890313525828</v>
      </c>
      <c r="E26" s="26">
        <v>-0.901596066065967</v>
      </c>
      <c r="F26" s="26">
        <v>8.18348632482337</v>
      </c>
    </row>
    <row r="27" spans="2:6" ht="12.75">
      <c r="B27" s="24" t="s">
        <v>102</v>
      </c>
      <c r="C27" s="25">
        <v>26234786.4261</v>
      </c>
      <c r="D27" s="26">
        <v>1.06739138931581</v>
      </c>
      <c r="E27" s="26">
        <v>13.6327666909228</v>
      </c>
      <c r="F27" s="26">
        <v>17.8356060323263</v>
      </c>
    </row>
    <row r="28" spans="2:6" ht="9" customHeight="1">
      <c r="B28" s="24"/>
      <c r="C28" s="25"/>
      <c r="D28" s="26"/>
      <c r="E28" s="26"/>
      <c r="F28" s="26"/>
    </row>
    <row r="29" spans="2:6" ht="12.75">
      <c r="B29" s="21" t="s">
        <v>115</v>
      </c>
      <c r="C29" s="22">
        <v>3587937.232</v>
      </c>
      <c r="D29" s="23">
        <v>1.84866801267097</v>
      </c>
      <c r="E29" s="23">
        <v>10.8991932794834</v>
      </c>
      <c r="F29" s="23">
        <v>3.79850340863266</v>
      </c>
    </row>
    <row r="30" spans="2:6" ht="7.5" customHeight="1">
      <c r="B30" s="21"/>
      <c r="C30" s="22"/>
      <c r="D30" s="23"/>
      <c r="E30" s="23"/>
      <c r="F30" s="23"/>
    </row>
    <row r="31" spans="2:6" ht="12.75">
      <c r="B31" s="21" t="s">
        <v>116</v>
      </c>
      <c r="C31" s="22">
        <v>7455741.6409</v>
      </c>
      <c r="D31" s="23">
        <v>-2.91200578972222</v>
      </c>
      <c r="E31" s="23">
        <v>-7.52101978130652</v>
      </c>
      <c r="F31" s="23">
        <v>-3.96269102230538</v>
      </c>
    </row>
    <row r="32" spans="2:6" ht="12.75">
      <c r="B32" s="24" t="s">
        <v>117</v>
      </c>
      <c r="C32" s="25">
        <v>4997153.6452</v>
      </c>
      <c r="D32" s="26">
        <v>-3.66079115524295</v>
      </c>
      <c r="E32" s="26">
        <v>-15.2980675384424</v>
      </c>
      <c r="F32" s="26">
        <v>-19.7128364440939</v>
      </c>
    </row>
    <row r="33" spans="2:6" ht="15" customHeight="1">
      <c r="B33" s="24" t="s">
        <v>118</v>
      </c>
      <c r="C33" s="25">
        <v>977082.2175</v>
      </c>
      <c r="D33" s="26">
        <v>-1.70958405645756</v>
      </c>
      <c r="E33" s="26">
        <v>23.37324702577</v>
      </c>
      <c r="F33" s="26">
        <v>211.404082031561</v>
      </c>
    </row>
    <row r="34" spans="2:6" ht="12.75">
      <c r="B34" s="24" t="s">
        <v>119</v>
      </c>
      <c r="C34" s="25">
        <v>1481505.7782</v>
      </c>
      <c r="D34" s="26">
        <v>-1.11745623023377</v>
      </c>
      <c r="E34" s="26">
        <v>8.10532356962281</v>
      </c>
      <c r="F34" s="26">
        <v>20.8885846631011</v>
      </c>
    </row>
    <row r="35" spans="2:6" ht="9" customHeight="1">
      <c r="B35" s="24"/>
      <c r="C35" s="25"/>
      <c r="D35" s="26"/>
      <c r="E35" s="26"/>
      <c r="F35" s="26"/>
    </row>
    <row r="36" spans="2:6" ht="12.75">
      <c r="B36" s="27" t="s">
        <v>73</v>
      </c>
      <c r="C36" s="28">
        <v>4258622.9617</v>
      </c>
      <c r="D36" s="29">
        <v>-0.122434761261365</v>
      </c>
      <c r="E36" s="29">
        <v>5.78995013433591</v>
      </c>
      <c r="F36" s="29">
        <v>7.3447596083694</v>
      </c>
    </row>
    <row r="37" spans="2:6" ht="9" customHeight="1">
      <c r="B37" s="33"/>
      <c r="C37" s="34"/>
      <c r="D37" s="35"/>
      <c r="E37" s="35"/>
      <c r="F37" s="35"/>
    </row>
    <row r="38" spans="2:6" ht="12.75">
      <c r="B38" s="86" t="s">
        <v>27</v>
      </c>
      <c r="C38" s="34"/>
      <c r="D38" s="35"/>
      <c r="E38" s="35"/>
      <c r="F38" s="35"/>
    </row>
    <row r="39" spans="2:6" ht="12.75">
      <c r="B39" s="36" t="s">
        <v>76</v>
      </c>
      <c r="C39" s="37">
        <v>438180.0981</v>
      </c>
      <c r="D39" s="38">
        <v>-3.57162223111734</v>
      </c>
      <c r="E39" s="38">
        <v>-4.98755074691224</v>
      </c>
      <c r="F39" s="38">
        <v>-18.0328077513398</v>
      </c>
    </row>
    <row r="40" spans="2:6" ht="12.75">
      <c r="B40" s="24" t="s">
        <v>75</v>
      </c>
      <c r="C40" s="25">
        <v>1901463.9701</v>
      </c>
      <c r="D40" s="26">
        <v>2.47765112004622</v>
      </c>
      <c r="E40" s="26">
        <v>15.1209093737558</v>
      </c>
      <c r="F40" s="26">
        <v>23.163229538038</v>
      </c>
    </row>
    <row r="41" spans="2:6" ht="12.75">
      <c r="B41" s="24" t="s">
        <v>93</v>
      </c>
      <c r="C41" s="25">
        <v>348223.5883</v>
      </c>
      <c r="D41" s="26">
        <v>-0.334926986680554</v>
      </c>
      <c r="E41" s="26">
        <v>27.570266270992</v>
      </c>
      <c r="F41" s="26">
        <v>141.593025032128</v>
      </c>
    </row>
    <row r="42" spans="2:6" ht="12.75">
      <c r="B42" s="39" t="s">
        <v>74</v>
      </c>
      <c r="C42" s="40">
        <v>3171446.7656</v>
      </c>
      <c r="D42" s="41">
        <v>-0.755559013373703</v>
      </c>
      <c r="E42" s="41">
        <v>12.4479652967616</v>
      </c>
      <c r="F42" s="41">
        <v>5.26202196835128</v>
      </c>
    </row>
    <row r="43" spans="2:6" ht="9" customHeight="1">
      <c r="B43" s="33"/>
      <c r="C43" s="34"/>
      <c r="D43" s="35"/>
      <c r="E43" s="35"/>
      <c r="F43" s="35"/>
    </row>
    <row r="44" spans="2:6" ht="12.75">
      <c r="B44" s="42" t="s">
        <v>77</v>
      </c>
      <c r="C44" s="43">
        <v>37954491.8127</v>
      </c>
      <c r="D44" s="44">
        <v>-0.0829535194719058</v>
      </c>
      <c r="E44" s="44">
        <v>6.81888656255648</v>
      </c>
      <c r="F44" s="44">
        <v>11.6497019988361</v>
      </c>
    </row>
    <row r="45" spans="2:6" ht="9" customHeight="1">
      <c r="B45" s="6"/>
      <c r="C45" s="45"/>
      <c r="D45" s="46"/>
      <c r="E45" s="46"/>
      <c r="F45" s="46"/>
    </row>
    <row r="46" spans="2:6" ht="12.75">
      <c r="B46" s="176" t="s">
        <v>78</v>
      </c>
      <c r="C46" s="177"/>
      <c r="D46" s="177"/>
      <c r="E46" s="177"/>
      <c r="F46" s="178"/>
    </row>
    <row r="47" spans="2:6" ht="9" customHeight="1">
      <c r="B47" s="47"/>
      <c r="C47" s="48"/>
      <c r="D47" s="49"/>
      <c r="E47" s="49"/>
      <c r="F47" s="50"/>
    </row>
    <row r="48" spans="2:5" ht="12.75">
      <c r="B48" s="7"/>
      <c r="C48" s="51" t="s">
        <v>79</v>
      </c>
      <c r="D48" s="174" t="s">
        <v>133</v>
      </c>
      <c r="E48" s="175"/>
    </row>
    <row r="49" spans="2:5" ht="12.75">
      <c r="B49" s="52"/>
      <c r="C49" s="51" t="s">
        <v>66</v>
      </c>
      <c r="D49" s="53" t="s">
        <v>134</v>
      </c>
      <c r="E49" s="53" t="s">
        <v>135</v>
      </c>
    </row>
    <row r="50" spans="2:5" ht="12.75">
      <c r="B50" s="36" t="s">
        <v>197</v>
      </c>
      <c r="C50" s="148">
        <v>1106246.7645</v>
      </c>
      <c r="D50" s="149">
        <v>-17.0773700437677</v>
      </c>
      <c r="E50" s="38">
        <v>3.9765719782463</v>
      </c>
    </row>
    <row r="51" spans="2:5" ht="12.75">
      <c r="B51" s="24" t="s">
        <v>80</v>
      </c>
      <c r="C51" s="54">
        <v>274278.3791</v>
      </c>
      <c r="D51" s="26">
        <v>-3.05861073211596</v>
      </c>
      <c r="E51" s="26">
        <v>5.06495296777241</v>
      </c>
    </row>
    <row r="52" spans="2:5" ht="12.75">
      <c r="B52" s="24" t="s">
        <v>204</v>
      </c>
      <c r="C52" s="54">
        <v>89344.0462</v>
      </c>
      <c r="D52" s="26">
        <v>-45.7411410380575</v>
      </c>
      <c r="E52" s="26">
        <v>2.64153642446177</v>
      </c>
    </row>
    <row r="53" spans="2:6" ht="12.75">
      <c r="B53" s="39" t="s">
        <v>81</v>
      </c>
      <c r="C53" s="55">
        <v>8799.5989</v>
      </c>
      <c r="D53" s="150">
        <v>463.849749110762</v>
      </c>
      <c r="E53" s="41">
        <v>-83.1828860175969</v>
      </c>
      <c r="F53" s="77"/>
    </row>
    <row r="54" spans="2:5" ht="12.75">
      <c r="B54" s="56" t="s">
        <v>82</v>
      </c>
      <c r="C54" s="57">
        <v>1478668.7887</v>
      </c>
      <c r="D54" s="58">
        <v>-19.4530421881038</v>
      </c>
      <c r="E54" s="58">
        <v>0.976826434303057</v>
      </c>
    </row>
    <row r="55" spans="2:5" ht="12.75">
      <c r="B55" s="36" t="s">
        <v>83</v>
      </c>
      <c r="C55" s="59">
        <v>763663.0924</v>
      </c>
      <c r="D55" s="38">
        <v>-14.9999521852757</v>
      </c>
      <c r="E55" s="38">
        <v>2.82662375764726</v>
      </c>
    </row>
    <row r="56" spans="2:5" ht="12.75">
      <c r="B56" s="39" t="s">
        <v>49</v>
      </c>
      <c r="C56" s="55">
        <v>213046.0021</v>
      </c>
      <c r="D56" s="41">
        <v>-3.79700033451604</v>
      </c>
      <c r="E56" s="41">
        <v>-16.2635927683852</v>
      </c>
    </row>
    <row r="57" spans="2:5" ht="12.75">
      <c r="B57" s="56" t="s">
        <v>84</v>
      </c>
      <c r="C57" s="57">
        <v>501959.6942</v>
      </c>
      <c r="D57" s="58">
        <v>-31.1301117170531</v>
      </c>
      <c r="E57" s="58">
        <v>7.42406405089866</v>
      </c>
    </row>
    <row r="58" spans="2:5" ht="12.75">
      <c r="B58" s="36" t="s">
        <v>217</v>
      </c>
      <c r="C58" s="59">
        <v>88904.2704</v>
      </c>
      <c r="D58" s="38">
        <v>42.3622899162535</v>
      </c>
      <c r="E58" s="38">
        <v>15.5941560171215</v>
      </c>
    </row>
    <row r="59" spans="2:6" ht="12.75">
      <c r="B59" s="56" t="s">
        <v>227</v>
      </c>
      <c r="C59" s="60">
        <v>590863.9648</v>
      </c>
      <c r="D59" s="58">
        <v>-21.4792013219534</v>
      </c>
      <c r="E59" s="58">
        <v>8.57876922796765</v>
      </c>
      <c r="F59" s="77"/>
    </row>
    <row r="60" spans="2:5" ht="12.75">
      <c r="B60" s="24" t="s">
        <v>104</v>
      </c>
      <c r="C60" s="54">
        <v>-28164.5238</v>
      </c>
      <c r="D60" s="151">
        <v>-59.6545674877221</v>
      </c>
      <c r="E60" s="26">
        <v>19.7759491375826</v>
      </c>
    </row>
    <row r="61" spans="2:5" ht="12.75">
      <c r="B61" s="56" t="s">
        <v>99</v>
      </c>
      <c r="C61" s="57">
        <v>562699.4407</v>
      </c>
      <c r="D61" s="58">
        <v>-17.6898303875386</v>
      </c>
      <c r="E61" s="58">
        <v>8.07308138694875</v>
      </c>
    </row>
    <row r="62" spans="2:5" ht="12.75">
      <c r="B62" s="39" t="s">
        <v>94</v>
      </c>
      <c r="C62" s="61">
        <v>95715.6364</v>
      </c>
      <c r="D62" s="161">
        <v>-5.70080651097146</v>
      </c>
      <c r="E62" s="41">
        <v>6.26217601464372</v>
      </c>
    </row>
    <row r="63" spans="2:5" ht="12.75">
      <c r="B63" s="56" t="s">
        <v>85</v>
      </c>
      <c r="C63" s="62">
        <v>466983.8043</v>
      </c>
      <c r="D63" s="63">
        <v>-19.7784824185702</v>
      </c>
      <c r="E63" s="58">
        <v>8.45190350943705</v>
      </c>
    </row>
    <row r="65" ht="12.75">
      <c r="B65" s="89" t="s">
        <v>27</v>
      </c>
    </row>
    <row r="66" spans="2:5" ht="12.75">
      <c r="B66" s="42" t="s">
        <v>128</v>
      </c>
      <c r="C66" s="65">
        <v>240448.9864</v>
      </c>
      <c r="D66" s="66">
        <v>18.6609956763202</v>
      </c>
      <c r="E66" s="44">
        <v>-7.94644548835739</v>
      </c>
    </row>
    <row r="68" ht="12.75">
      <c r="B68" s="3" t="s">
        <v>60</v>
      </c>
    </row>
    <row r="69" ht="12.75">
      <c r="B69" s="3" t="s">
        <v>143</v>
      </c>
    </row>
    <row r="70" ht="12.75">
      <c r="B70" s="3" t="s">
        <v>136</v>
      </c>
    </row>
    <row r="71" ht="12.75">
      <c r="B71" s="3" t="s">
        <v>142</v>
      </c>
    </row>
    <row r="73" ht="12.75">
      <c r="B73" s="3" t="s">
        <v>103</v>
      </c>
    </row>
  </sheetData>
  <mergeCells count="5">
    <mergeCell ref="B3:F3"/>
    <mergeCell ref="D48:E48"/>
    <mergeCell ref="B7:F7"/>
    <mergeCell ref="B46:F46"/>
    <mergeCell ref="B4:F4"/>
  </mergeCells>
  <hyperlinks>
    <hyperlink ref="F1" location="Indice!A1" display="Volver"/>
  </hyperlinks>
  <printOptions horizontalCentered="1"/>
  <pageMargins left="0.15748031496062992" right="0.2755905511811024" top="0.37" bottom="0.31" header="0" footer="0"/>
  <pageSetup fitToHeight="1" fitToWidth="1"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47.625" style="3" customWidth="1"/>
    <col min="2" max="2" width="17.875" style="3" bestFit="1" customWidth="1"/>
    <col min="3" max="8" width="17.625" style="3" customWidth="1"/>
    <col min="9" max="9" width="17.125" style="3" bestFit="1" customWidth="1"/>
    <col min="10" max="10" width="15.125" style="3" bestFit="1" customWidth="1"/>
    <col min="11" max="11" width="16.50390625" style="3" bestFit="1" customWidth="1"/>
    <col min="12" max="12" width="15.00390625" style="3" bestFit="1" customWidth="1"/>
    <col min="13" max="13" width="16.125" style="3" bestFit="1" customWidth="1"/>
    <col min="14" max="14" width="4.375" style="3" customWidth="1"/>
    <col min="15" max="16" width="15.125" style="3" bestFit="1" customWidth="1"/>
    <col min="17" max="16384" width="12.00390625" style="3" customWidth="1"/>
  </cols>
  <sheetData>
    <row r="1" spans="1:16" ht="12.75">
      <c r="A1" s="107" t="s">
        <v>144</v>
      </c>
      <c r="P1" s="111" t="s">
        <v>151</v>
      </c>
    </row>
    <row r="2" ht="12.75">
      <c r="A2" s="107" t="s">
        <v>145</v>
      </c>
    </row>
    <row r="3" ht="12.75">
      <c r="A3" s="107"/>
    </row>
    <row r="4" spans="1:16" ht="18">
      <c r="A4" s="182" t="s">
        <v>248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.75">
      <c r="A5" s="183" t="s">
        <v>91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5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6" s="49" customFormat="1" ht="12.75">
      <c r="A7" s="69"/>
      <c r="B7" s="179" t="s">
        <v>0</v>
      </c>
      <c r="C7" s="180"/>
      <c r="D7" s="180"/>
      <c r="E7" s="180"/>
      <c r="F7" s="181"/>
      <c r="G7" s="70" t="s">
        <v>61</v>
      </c>
      <c r="H7" s="69" t="s">
        <v>62</v>
      </c>
      <c r="I7" s="180" t="s">
        <v>38</v>
      </c>
      <c r="J7" s="180"/>
      <c r="K7" s="181"/>
      <c r="L7" s="69" t="s">
        <v>120</v>
      </c>
      <c r="M7" s="69" t="s">
        <v>1</v>
      </c>
      <c r="N7" s="71"/>
      <c r="O7" s="69" t="s">
        <v>0</v>
      </c>
      <c r="P7" s="69" t="s">
        <v>0</v>
      </c>
    </row>
    <row r="8" spans="1:16" s="49" customFormat="1" ht="12.75">
      <c r="A8" s="72" t="s">
        <v>20</v>
      </c>
      <c r="B8" s="73" t="s">
        <v>96</v>
      </c>
      <c r="C8" s="72" t="s">
        <v>97</v>
      </c>
      <c r="D8" s="179" t="s">
        <v>95</v>
      </c>
      <c r="E8" s="180"/>
      <c r="F8" s="181"/>
      <c r="G8" s="67" t="s">
        <v>2</v>
      </c>
      <c r="H8" s="72" t="s">
        <v>2</v>
      </c>
      <c r="I8" s="73" t="s">
        <v>96</v>
      </c>
      <c r="J8" s="72" t="s">
        <v>138</v>
      </c>
      <c r="K8" s="72" t="s">
        <v>105</v>
      </c>
      <c r="L8" s="72" t="s">
        <v>121</v>
      </c>
      <c r="M8" s="72" t="s">
        <v>3</v>
      </c>
      <c r="N8" s="71"/>
      <c r="O8" s="72" t="s">
        <v>63</v>
      </c>
      <c r="P8" s="72" t="s">
        <v>37</v>
      </c>
    </row>
    <row r="9" spans="1:16" s="49" customFormat="1" ht="12.75">
      <c r="A9" s="74"/>
      <c r="B9" s="75"/>
      <c r="C9" s="74"/>
      <c r="D9" s="74" t="s">
        <v>96</v>
      </c>
      <c r="E9" s="74" t="s">
        <v>36</v>
      </c>
      <c r="F9" s="74" t="s">
        <v>106</v>
      </c>
      <c r="G9" s="76"/>
      <c r="H9" s="74"/>
      <c r="I9" s="75"/>
      <c r="J9" s="74" t="s">
        <v>139</v>
      </c>
      <c r="K9" s="74"/>
      <c r="L9" s="74" t="s">
        <v>122</v>
      </c>
      <c r="M9" s="74"/>
      <c r="N9" s="71"/>
      <c r="O9" s="74"/>
      <c r="P9" s="74"/>
    </row>
    <row r="10" spans="2:16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O10" s="77"/>
      <c r="P10" s="77"/>
    </row>
    <row r="11" spans="1:16" s="49" customFormat="1" ht="12.75">
      <c r="A11" s="78" t="s">
        <v>16</v>
      </c>
      <c r="B11" s="79">
        <v>33842025.8799</v>
      </c>
      <c r="C11" s="79">
        <v>24019893.8935</v>
      </c>
      <c r="D11" s="79">
        <v>9822131.9857</v>
      </c>
      <c r="E11" s="79">
        <v>3877131.2367</v>
      </c>
      <c r="F11" s="79">
        <v>5945000.749</v>
      </c>
      <c r="G11" s="79">
        <v>5570161.7015</v>
      </c>
      <c r="H11" s="79">
        <v>45194144.3233</v>
      </c>
      <c r="I11" s="79">
        <v>26399425.5577</v>
      </c>
      <c r="J11" s="79">
        <v>5532810.9869</v>
      </c>
      <c r="K11" s="79">
        <v>20866614.5708</v>
      </c>
      <c r="L11" s="79">
        <v>5043903.3744</v>
      </c>
      <c r="M11" s="79">
        <v>3277928.4389</v>
      </c>
      <c r="N11" s="80"/>
      <c r="O11" s="79">
        <v>2924800.9935</v>
      </c>
      <c r="P11" s="79">
        <v>377068.3869</v>
      </c>
    </row>
    <row r="12" spans="1:16" ht="12.75">
      <c r="A12" s="81" t="s">
        <v>28</v>
      </c>
      <c r="B12" s="81">
        <v>165961.9635</v>
      </c>
      <c r="C12" s="81">
        <v>164880.6913</v>
      </c>
      <c r="D12" s="81">
        <v>1081.272</v>
      </c>
      <c r="E12" s="81">
        <v>37.8438</v>
      </c>
      <c r="F12" s="81">
        <v>1043.4282</v>
      </c>
      <c r="G12" s="81">
        <v>167905.6786</v>
      </c>
      <c r="H12" s="81">
        <v>432814.7881</v>
      </c>
      <c r="I12" s="81">
        <v>123138.7948</v>
      </c>
      <c r="J12" s="81">
        <v>31737.6858</v>
      </c>
      <c r="K12" s="81">
        <v>91401.109</v>
      </c>
      <c r="L12" s="81">
        <v>0</v>
      </c>
      <c r="M12" s="81">
        <v>94788.3943</v>
      </c>
      <c r="N12" s="77"/>
      <c r="O12" s="81">
        <v>16860.969</v>
      </c>
      <c r="P12" s="81">
        <v>2174.4306</v>
      </c>
    </row>
    <row r="13" spans="1:16" ht="12.75">
      <c r="A13" s="82" t="s">
        <v>25</v>
      </c>
      <c r="B13" s="82">
        <v>3171300.6912</v>
      </c>
      <c r="C13" s="82">
        <v>2096183.9985</v>
      </c>
      <c r="D13" s="82">
        <v>1075116.6921</v>
      </c>
      <c r="E13" s="82">
        <v>265701.2737</v>
      </c>
      <c r="F13" s="82">
        <v>809415.4184</v>
      </c>
      <c r="G13" s="82">
        <v>360565.305</v>
      </c>
      <c r="H13" s="82">
        <v>3945143.5941</v>
      </c>
      <c r="I13" s="82">
        <v>2628554.7202</v>
      </c>
      <c r="J13" s="82">
        <v>371292.5764</v>
      </c>
      <c r="K13" s="82">
        <v>2257262.1438</v>
      </c>
      <c r="L13" s="82">
        <v>268417.1452</v>
      </c>
      <c r="M13" s="82">
        <v>255517.3382</v>
      </c>
      <c r="N13" s="77"/>
      <c r="O13" s="82">
        <v>265965.0541</v>
      </c>
      <c r="P13" s="82">
        <v>48222.9621</v>
      </c>
    </row>
    <row r="14" spans="1:16" ht="12.75">
      <c r="A14" s="82" t="s">
        <v>5</v>
      </c>
      <c r="B14" s="82">
        <v>1047580.6087</v>
      </c>
      <c r="C14" s="82">
        <v>928224.5099</v>
      </c>
      <c r="D14" s="82">
        <v>119356.0983</v>
      </c>
      <c r="E14" s="82">
        <v>30350.4279</v>
      </c>
      <c r="F14" s="82">
        <v>89005.6704</v>
      </c>
      <c r="G14" s="82">
        <v>323193.0437</v>
      </c>
      <c r="H14" s="82">
        <v>1576674.9208</v>
      </c>
      <c r="I14" s="82">
        <v>889711.1348</v>
      </c>
      <c r="J14" s="82">
        <v>154534.3361</v>
      </c>
      <c r="K14" s="82">
        <v>735176.7987</v>
      </c>
      <c r="L14" s="82">
        <v>144238.1346</v>
      </c>
      <c r="M14" s="82">
        <v>112913.4238</v>
      </c>
      <c r="N14" s="77"/>
      <c r="O14" s="82">
        <v>139277.2904</v>
      </c>
      <c r="P14" s="82">
        <v>4540.1692</v>
      </c>
    </row>
    <row r="15" spans="1:16" ht="12.75">
      <c r="A15" s="82" t="s">
        <v>6</v>
      </c>
      <c r="B15" s="82">
        <v>2724268.5856</v>
      </c>
      <c r="C15" s="82">
        <v>2202130.5234</v>
      </c>
      <c r="D15" s="82">
        <v>522138.0615</v>
      </c>
      <c r="E15" s="82">
        <v>321455.6173</v>
      </c>
      <c r="F15" s="82">
        <v>200682.4442</v>
      </c>
      <c r="G15" s="82">
        <v>500729.7717</v>
      </c>
      <c r="H15" s="82">
        <v>3460846.4313</v>
      </c>
      <c r="I15" s="82">
        <v>1958445.296</v>
      </c>
      <c r="J15" s="82">
        <v>179405.4673</v>
      </c>
      <c r="K15" s="82">
        <v>1779039.8287</v>
      </c>
      <c r="L15" s="82">
        <v>462908.0628</v>
      </c>
      <c r="M15" s="82">
        <v>354015.8368</v>
      </c>
      <c r="N15" s="77"/>
      <c r="O15" s="82">
        <v>225907.8193</v>
      </c>
      <c r="P15" s="82">
        <v>23228.9922</v>
      </c>
    </row>
    <row r="16" spans="1:16" ht="12.75">
      <c r="A16" s="82" t="s">
        <v>7</v>
      </c>
      <c r="B16" s="82">
        <v>7274720.4665</v>
      </c>
      <c r="C16" s="82">
        <v>5270282.8907</v>
      </c>
      <c r="D16" s="82">
        <v>2004437.5754</v>
      </c>
      <c r="E16" s="82">
        <v>769797.0841</v>
      </c>
      <c r="F16" s="82">
        <v>1234640.4913</v>
      </c>
      <c r="G16" s="82">
        <v>1095409.0397</v>
      </c>
      <c r="H16" s="82">
        <v>9319098.0001</v>
      </c>
      <c r="I16" s="82">
        <v>5480424.4302</v>
      </c>
      <c r="J16" s="82">
        <v>1502287.3414</v>
      </c>
      <c r="K16" s="82">
        <v>3978137.0888</v>
      </c>
      <c r="L16" s="82">
        <v>1156972.0671</v>
      </c>
      <c r="M16" s="82">
        <v>527697.0235</v>
      </c>
      <c r="N16" s="77"/>
      <c r="O16" s="82">
        <v>632095.7603</v>
      </c>
      <c r="P16" s="82">
        <v>71193.7139</v>
      </c>
    </row>
    <row r="17" spans="1:16" ht="12.75">
      <c r="A17" s="82" t="s">
        <v>141</v>
      </c>
      <c r="B17" s="82">
        <v>4938137.2013</v>
      </c>
      <c r="C17" s="82">
        <v>3562677.5046</v>
      </c>
      <c r="D17" s="82">
        <v>1375459.6962</v>
      </c>
      <c r="E17" s="82">
        <v>576892.9162</v>
      </c>
      <c r="F17" s="82">
        <v>798566.78</v>
      </c>
      <c r="G17" s="82">
        <v>879391.3127</v>
      </c>
      <c r="H17" s="82">
        <v>6581106.8519</v>
      </c>
      <c r="I17" s="82">
        <v>3768232.698</v>
      </c>
      <c r="J17" s="82">
        <v>1007333.6879</v>
      </c>
      <c r="K17" s="82">
        <v>2760899.0101</v>
      </c>
      <c r="L17" s="82">
        <v>572023.3967</v>
      </c>
      <c r="M17" s="82">
        <v>388794.4544</v>
      </c>
      <c r="N17" s="77"/>
      <c r="O17" s="82">
        <v>448151.629</v>
      </c>
      <c r="P17" s="82">
        <v>46393.0205</v>
      </c>
    </row>
    <row r="18" spans="1:16" ht="12.75">
      <c r="A18" s="82" t="s">
        <v>8</v>
      </c>
      <c r="B18" s="82">
        <v>1581907.0781</v>
      </c>
      <c r="C18" s="82">
        <v>1292044.0296</v>
      </c>
      <c r="D18" s="82">
        <v>289863.048</v>
      </c>
      <c r="E18" s="82">
        <v>38174.3449</v>
      </c>
      <c r="F18" s="82">
        <v>251688.7031</v>
      </c>
      <c r="G18" s="82">
        <v>92102.0695</v>
      </c>
      <c r="H18" s="82">
        <v>1857042.4203</v>
      </c>
      <c r="I18" s="82">
        <v>1028846.4764</v>
      </c>
      <c r="J18" s="82">
        <v>162947.1022</v>
      </c>
      <c r="K18" s="82">
        <v>865899.3742</v>
      </c>
      <c r="L18" s="82">
        <v>397170.1936</v>
      </c>
      <c r="M18" s="82">
        <v>139495.6426</v>
      </c>
      <c r="N18" s="77"/>
      <c r="O18" s="82">
        <v>62094.7444</v>
      </c>
      <c r="P18" s="82">
        <v>24841.1347</v>
      </c>
    </row>
    <row r="19" spans="1:16" ht="12.75">
      <c r="A19" s="82" t="s">
        <v>31</v>
      </c>
      <c r="B19" s="82">
        <v>17888.1838</v>
      </c>
      <c r="C19" s="82">
        <v>17888.1837</v>
      </c>
      <c r="D19" s="82">
        <v>0</v>
      </c>
      <c r="E19" s="82">
        <v>0</v>
      </c>
      <c r="F19" s="82">
        <v>0</v>
      </c>
      <c r="G19" s="82">
        <v>192554.4405</v>
      </c>
      <c r="H19" s="82">
        <v>470293.7148</v>
      </c>
      <c r="I19" s="82">
        <v>172309.3439</v>
      </c>
      <c r="J19" s="82">
        <v>20940.0543</v>
      </c>
      <c r="K19" s="82">
        <v>151369.2896</v>
      </c>
      <c r="L19" s="82">
        <v>0</v>
      </c>
      <c r="M19" s="82">
        <v>77413.7896</v>
      </c>
      <c r="N19" s="77"/>
      <c r="O19" s="82">
        <v>0</v>
      </c>
      <c r="P19" s="82">
        <v>0</v>
      </c>
    </row>
    <row r="20" spans="1:16" ht="12.75">
      <c r="A20" s="82" t="s">
        <v>11</v>
      </c>
      <c r="B20" s="82">
        <v>313339.5726</v>
      </c>
      <c r="C20" s="82">
        <v>19240.2967</v>
      </c>
      <c r="D20" s="82">
        <v>294099.2756</v>
      </c>
      <c r="E20" s="82">
        <v>237149.1612</v>
      </c>
      <c r="F20" s="82">
        <v>56950.1144</v>
      </c>
      <c r="G20" s="82">
        <v>13364.1527</v>
      </c>
      <c r="H20" s="82">
        <v>359158.2314</v>
      </c>
      <c r="I20" s="82">
        <v>246768.4599</v>
      </c>
      <c r="J20" s="82">
        <v>16653.0231</v>
      </c>
      <c r="K20" s="82">
        <v>230115.4368</v>
      </c>
      <c r="L20" s="82">
        <v>43870.4694</v>
      </c>
      <c r="M20" s="82">
        <v>43901.6606</v>
      </c>
      <c r="N20" s="77"/>
      <c r="O20" s="82">
        <v>0</v>
      </c>
      <c r="P20" s="82">
        <v>797.0651</v>
      </c>
    </row>
    <row r="21" spans="1:16" ht="12.75">
      <c r="A21" s="82" t="s">
        <v>24</v>
      </c>
      <c r="B21" s="82">
        <v>106579.244</v>
      </c>
      <c r="C21" s="82">
        <v>106579.2437</v>
      </c>
      <c r="D21" s="82">
        <v>0</v>
      </c>
      <c r="E21" s="82">
        <v>0</v>
      </c>
      <c r="F21" s="82">
        <v>0</v>
      </c>
      <c r="G21" s="82">
        <v>2028.5572</v>
      </c>
      <c r="H21" s="82">
        <v>126131.5899</v>
      </c>
      <c r="I21" s="82">
        <v>85499.7995</v>
      </c>
      <c r="J21" s="82">
        <v>7147.6692</v>
      </c>
      <c r="K21" s="82">
        <v>78352.1303</v>
      </c>
      <c r="L21" s="82">
        <v>0</v>
      </c>
      <c r="M21" s="82">
        <v>13935.1579</v>
      </c>
      <c r="N21" s="77"/>
      <c r="O21" s="82">
        <v>4945.74</v>
      </c>
      <c r="P21" s="82">
        <v>1093.3177</v>
      </c>
    </row>
    <row r="22" spans="1:16" ht="12.75">
      <c r="A22" s="82" t="s">
        <v>29</v>
      </c>
      <c r="B22" s="82">
        <v>148302.0563</v>
      </c>
      <c r="C22" s="82">
        <v>148230.3177</v>
      </c>
      <c r="D22" s="82">
        <v>71.7383</v>
      </c>
      <c r="E22" s="82">
        <v>71.7383</v>
      </c>
      <c r="F22" s="82">
        <v>0</v>
      </c>
      <c r="G22" s="82">
        <v>218508.7207</v>
      </c>
      <c r="H22" s="82">
        <v>484137.6174</v>
      </c>
      <c r="I22" s="82">
        <v>241383.4774</v>
      </c>
      <c r="J22" s="82">
        <v>2226.4782</v>
      </c>
      <c r="K22" s="82">
        <v>239156.9992</v>
      </c>
      <c r="L22" s="82">
        <v>0</v>
      </c>
      <c r="M22" s="82">
        <v>90381.0456</v>
      </c>
      <c r="N22" s="77"/>
      <c r="O22" s="82">
        <v>20977.8731</v>
      </c>
      <c r="P22" s="82">
        <v>18.4616</v>
      </c>
    </row>
    <row r="23" spans="1:16" ht="12.75">
      <c r="A23" s="82" t="s">
        <v>9</v>
      </c>
      <c r="B23" s="82">
        <v>123100.8625</v>
      </c>
      <c r="C23" s="82">
        <v>122056.5518</v>
      </c>
      <c r="D23" s="82">
        <v>1044.3104</v>
      </c>
      <c r="E23" s="82">
        <v>271.7581</v>
      </c>
      <c r="F23" s="82">
        <v>772.5523</v>
      </c>
      <c r="G23" s="82">
        <v>31814.6139</v>
      </c>
      <c r="H23" s="82">
        <v>180632.1052</v>
      </c>
      <c r="I23" s="82">
        <v>134323.469</v>
      </c>
      <c r="J23" s="82">
        <v>16661.6568</v>
      </c>
      <c r="K23" s="82">
        <v>117661.8122</v>
      </c>
      <c r="L23" s="82">
        <v>3117.0088</v>
      </c>
      <c r="M23" s="82">
        <v>15192.6058</v>
      </c>
      <c r="N23" s="77"/>
      <c r="O23" s="82">
        <v>7121.1318</v>
      </c>
      <c r="P23" s="82">
        <v>2285.8917</v>
      </c>
    </row>
    <row r="24" spans="1:16" ht="12.75">
      <c r="A24" s="82" t="s">
        <v>26</v>
      </c>
      <c r="B24" s="82">
        <v>13533.9576</v>
      </c>
      <c r="C24" s="82">
        <v>13533.9575</v>
      </c>
      <c r="D24" s="82">
        <v>0</v>
      </c>
      <c r="E24" s="82">
        <v>0</v>
      </c>
      <c r="F24" s="82">
        <v>0</v>
      </c>
      <c r="G24" s="82">
        <v>14897.0636</v>
      </c>
      <c r="H24" s="82">
        <v>48817.4556</v>
      </c>
      <c r="I24" s="82">
        <v>22026.4346</v>
      </c>
      <c r="J24" s="82">
        <v>2074.3032</v>
      </c>
      <c r="K24" s="82">
        <v>19952.1314</v>
      </c>
      <c r="L24" s="82">
        <v>0</v>
      </c>
      <c r="M24" s="82">
        <v>8410.1259</v>
      </c>
      <c r="N24" s="77"/>
      <c r="O24" s="82">
        <v>0</v>
      </c>
      <c r="P24" s="82">
        <v>0</v>
      </c>
    </row>
    <row r="25" spans="1:16" ht="12.75">
      <c r="A25" s="82" t="s">
        <v>107</v>
      </c>
      <c r="B25" s="82">
        <v>121686.5129</v>
      </c>
      <c r="C25" s="82">
        <v>1700.3413</v>
      </c>
      <c r="D25" s="82">
        <v>119986.1715</v>
      </c>
      <c r="E25" s="82">
        <v>119986.1715</v>
      </c>
      <c r="F25" s="82">
        <v>0</v>
      </c>
      <c r="G25" s="82">
        <v>4467.7716</v>
      </c>
      <c r="H25" s="82">
        <v>139421.5629</v>
      </c>
      <c r="I25" s="82">
        <v>112283.1192</v>
      </c>
      <c r="J25" s="82">
        <v>2548.5807</v>
      </c>
      <c r="K25" s="82">
        <v>109734.5385</v>
      </c>
      <c r="L25" s="82">
        <v>0</v>
      </c>
      <c r="M25" s="82">
        <v>14133.4367</v>
      </c>
      <c r="N25" s="77"/>
      <c r="O25" s="82">
        <v>0</v>
      </c>
      <c r="P25" s="82">
        <v>317.9736</v>
      </c>
    </row>
    <row r="26" spans="1:16" ht="12.75">
      <c r="A26" s="82" t="s">
        <v>30</v>
      </c>
      <c r="B26" s="82">
        <v>0</v>
      </c>
      <c r="C26" s="82">
        <v>0</v>
      </c>
      <c r="D26" s="82">
        <v>0</v>
      </c>
      <c r="E26" s="82">
        <v>0</v>
      </c>
      <c r="F26" s="82">
        <v>0</v>
      </c>
      <c r="G26" s="82">
        <v>42680.0959</v>
      </c>
      <c r="H26" s="82">
        <v>86034.7472</v>
      </c>
      <c r="I26" s="82">
        <v>34541.8127</v>
      </c>
      <c r="J26" s="82">
        <v>4523.1719</v>
      </c>
      <c r="K26" s="82">
        <v>30018.6408</v>
      </c>
      <c r="L26" s="82">
        <v>0</v>
      </c>
      <c r="M26" s="82">
        <v>19758.7213</v>
      </c>
      <c r="N26" s="77"/>
      <c r="O26" s="82">
        <v>0</v>
      </c>
      <c r="P26" s="82">
        <v>0</v>
      </c>
    </row>
    <row r="27" spans="1:16" ht="12.75">
      <c r="A27" s="82" t="s">
        <v>22</v>
      </c>
      <c r="B27" s="82">
        <v>131008.9168</v>
      </c>
      <c r="C27" s="82">
        <v>9209.1668</v>
      </c>
      <c r="D27" s="82">
        <v>121799.7496</v>
      </c>
      <c r="E27" s="82">
        <v>107119.4975</v>
      </c>
      <c r="F27" s="82">
        <v>14680.2521</v>
      </c>
      <c r="G27" s="82">
        <v>3538.0076</v>
      </c>
      <c r="H27" s="82">
        <v>156477.0721</v>
      </c>
      <c r="I27" s="82">
        <v>115239.9451</v>
      </c>
      <c r="J27" s="82">
        <v>3119.2134</v>
      </c>
      <c r="K27" s="82">
        <v>112120.7317</v>
      </c>
      <c r="L27" s="82">
        <v>15349.4936</v>
      </c>
      <c r="M27" s="82">
        <v>17046.8121</v>
      </c>
      <c r="N27" s="77"/>
      <c r="O27" s="82">
        <v>0</v>
      </c>
      <c r="P27" s="82">
        <v>154.9737</v>
      </c>
    </row>
    <row r="28" spans="1:16" ht="12.75">
      <c r="A28" s="82" t="s">
        <v>10</v>
      </c>
      <c r="B28" s="82">
        <v>9467424.3873</v>
      </c>
      <c r="C28" s="82">
        <v>6143452.4895</v>
      </c>
      <c r="D28" s="82">
        <v>3323971.8972</v>
      </c>
      <c r="E28" s="82">
        <v>1260652.0581</v>
      </c>
      <c r="F28" s="82">
        <v>2063319.8391</v>
      </c>
      <c r="G28" s="82">
        <v>1153677.6948</v>
      </c>
      <c r="H28" s="82">
        <v>12597144.0336</v>
      </c>
      <c r="I28" s="82">
        <v>7313056.4424</v>
      </c>
      <c r="J28" s="82">
        <v>1731727.6176</v>
      </c>
      <c r="K28" s="82">
        <v>5581328.8248</v>
      </c>
      <c r="L28" s="82">
        <v>1655295.4589</v>
      </c>
      <c r="M28" s="82">
        <v>842148.6426</v>
      </c>
      <c r="N28" s="77"/>
      <c r="O28" s="82">
        <v>912312.247</v>
      </c>
      <c r="P28" s="82">
        <v>117808.3079</v>
      </c>
    </row>
    <row r="29" spans="1:16" ht="12.75">
      <c r="A29" s="82" t="s">
        <v>32</v>
      </c>
      <c r="B29" s="82">
        <v>1307202.6691</v>
      </c>
      <c r="C29" s="82">
        <v>1202221.2307</v>
      </c>
      <c r="D29" s="82">
        <v>104981.438</v>
      </c>
      <c r="E29" s="82">
        <v>22651.9656</v>
      </c>
      <c r="F29" s="82">
        <v>82329.4724</v>
      </c>
      <c r="G29" s="82">
        <v>229163.5497</v>
      </c>
      <c r="H29" s="82">
        <v>1748397.7501</v>
      </c>
      <c r="I29" s="82">
        <v>1027783.1587</v>
      </c>
      <c r="J29" s="82">
        <v>104735.8958</v>
      </c>
      <c r="K29" s="82">
        <v>923047.2629</v>
      </c>
      <c r="L29" s="82">
        <v>138327.2714</v>
      </c>
      <c r="M29" s="82">
        <v>128833.6422</v>
      </c>
      <c r="N29" s="77"/>
      <c r="O29" s="82">
        <v>102150.981</v>
      </c>
      <c r="P29" s="82">
        <v>9191.5872</v>
      </c>
    </row>
    <row r="30" spans="1:16" ht="12.75">
      <c r="A30" s="83" t="s">
        <v>21</v>
      </c>
      <c r="B30" s="83">
        <v>1188082.9213</v>
      </c>
      <c r="C30" s="83">
        <v>719357.9617</v>
      </c>
      <c r="D30" s="83">
        <v>468724.9591</v>
      </c>
      <c r="E30" s="83">
        <v>126819.3773</v>
      </c>
      <c r="F30" s="83">
        <v>341905.5818</v>
      </c>
      <c r="G30" s="83">
        <v>244170.8114</v>
      </c>
      <c r="H30" s="83">
        <v>1624771.4359</v>
      </c>
      <c r="I30" s="83">
        <v>1016856.5431</v>
      </c>
      <c r="J30" s="83">
        <v>210915.1247</v>
      </c>
      <c r="K30" s="83">
        <v>805941.4184</v>
      </c>
      <c r="L30" s="83">
        <v>186214.6708</v>
      </c>
      <c r="M30" s="83">
        <v>133550.6841</v>
      </c>
      <c r="N30" s="77"/>
      <c r="O30" s="83">
        <v>86939.7535</v>
      </c>
      <c r="P30" s="83">
        <v>24806.3846</v>
      </c>
    </row>
    <row r="31" ht="12.75">
      <c r="N31" s="77"/>
    </row>
    <row r="32" spans="1:16" ht="12.75">
      <c r="A32" s="79" t="s">
        <v>140</v>
      </c>
      <c r="B32" s="79">
        <v>5389586.8309</v>
      </c>
      <c r="C32" s="79">
        <v>2659941.6298</v>
      </c>
      <c r="D32" s="79">
        <v>2729645.2007</v>
      </c>
      <c r="E32" s="79">
        <v>563383.4832</v>
      </c>
      <c r="F32" s="79">
        <v>2166261.7175</v>
      </c>
      <c r="G32" s="79">
        <v>3162248.9723</v>
      </c>
      <c r="H32" s="79">
        <v>9230439.9932</v>
      </c>
      <c r="I32" s="79">
        <v>5242726.5502</v>
      </c>
      <c r="J32" s="79">
        <v>1353763.1228</v>
      </c>
      <c r="K32" s="79">
        <v>3888963.4274</v>
      </c>
      <c r="L32" s="79">
        <v>2195002.8893</v>
      </c>
      <c r="M32" s="79">
        <v>407471.9898</v>
      </c>
      <c r="N32" s="84"/>
      <c r="O32" s="79">
        <v>163014.9628</v>
      </c>
      <c r="P32" s="79">
        <v>43718.5859</v>
      </c>
    </row>
    <row r="33" ht="12.75">
      <c r="N33" s="77"/>
    </row>
    <row r="34" spans="1:16" s="49" customFormat="1" ht="12.75">
      <c r="A34" s="79" t="s">
        <v>23</v>
      </c>
      <c r="B34" s="79">
        <v>1894325.8674</v>
      </c>
      <c r="C34" s="79">
        <v>1205143.93</v>
      </c>
      <c r="D34" s="79">
        <v>689181.9368</v>
      </c>
      <c r="E34" s="79">
        <v>437480.5199</v>
      </c>
      <c r="F34" s="79">
        <v>251701.4169</v>
      </c>
      <c r="G34" s="79">
        <v>739929.1255</v>
      </c>
      <c r="H34" s="79">
        <v>3611546.2077</v>
      </c>
      <c r="I34" s="79">
        <v>1995338.6015</v>
      </c>
      <c r="J34" s="79">
        <v>516130.1737</v>
      </c>
      <c r="K34" s="79">
        <v>1479208.4278</v>
      </c>
      <c r="L34" s="79">
        <v>216835.3769</v>
      </c>
      <c r="M34" s="79">
        <v>573222.5329</v>
      </c>
      <c r="N34" s="85"/>
      <c r="O34" s="79">
        <v>83630.8093</v>
      </c>
      <c r="P34" s="79">
        <v>17393.1252</v>
      </c>
    </row>
    <row r="35" spans="1:16" ht="12.75">
      <c r="A35" s="82" t="s">
        <v>34</v>
      </c>
      <c r="B35" s="82">
        <v>967092.4636</v>
      </c>
      <c r="C35" s="82">
        <v>589204.5692</v>
      </c>
      <c r="D35" s="82">
        <v>377887.8941</v>
      </c>
      <c r="E35" s="82">
        <v>170540.0269</v>
      </c>
      <c r="F35" s="82">
        <v>207347.8672</v>
      </c>
      <c r="G35" s="82">
        <v>122630.0273</v>
      </c>
      <c r="H35" s="82">
        <v>1362805.6699</v>
      </c>
      <c r="I35" s="82">
        <v>796904.0963</v>
      </c>
      <c r="J35" s="82">
        <v>134416.6417</v>
      </c>
      <c r="K35" s="82">
        <v>662487.4546</v>
      </c>
      <c r="L35" s="82">
        <v>157341.3819</v>
      </c>
      <c r="M35" s="82">
        <v>155150.3247</v>
      </c>
      <c r="N35" s="77"/>
      <c r="O35" s="82">
        <v>46891.2578</v>
      </c>
      <c r="P35" s="82">
        <v>10434.1314</v>
      </c>
    </row>
    <row r="36" spans="1:16" ht="12.75">
      <c r="A36" s="82" t="s">
        <v>12</v>
      </c>
      <c r="B36" s="82">
        <v>847896.9742</v>
      </c>
      <c r="C36" s="82">
        <v>536660.3141</v>
      </c>
      <c r="D36" s="82">
        <v>311236.6597</v>
      </c>
      <c r="E36" s="82">
        <v>266883.11</v>
      </c>
      <c r="F36" s="82">
        <v>44353.5497</v>
      </c>
      <c r="G36" s="82">
        <v>350557.0682</v>
      </c>
      <c r="H36" s="82">
        <v>1711388.351</v>
      </c>
      <c r="I36" s="82">
        <v>1069792.2744</v>
      </c>
      <c r="J36" s="82">
        <v>355880.7533</v>
      </c>
      <c r="K36" s="82">
        <v>713911.5211</v>
      </c>
      <c r="L36" s="82">
        <v>59493.9949</v>
      </c>
      <c r="M36" s="82">
        <v>244960.4917</v>
      </c>
      <c r="N36" s="77"/>
      <c r="O36" s="82">
        <v>28746.9884</v>
      </c>
      <c r="P36" s="82">
        <v>6944.1372</v>
      </c>
    </row>
    <row r="37" spans="1:16" ht="12.75">
      <c r="A37" s="82" t="s">
        <v>14</v>
      </c>
      <c r="B37" s="82">
        <v>11767.0867</v>
      </c>
      <c r="C37" s="82">
        <v>11728.2347</v>
      </c>
      <c r="D37" s="82">
        <v>38.8517</v>
      </c>
      <c r="E37" s="82">
        <v>38.8517</v>
      </c>
      <c r="F37" s="82">
        <v>0</v>
      </c>
      <c r="G37" s="82">
        <v>2230</v>
      </c>
      <c r="H37" s="82">
        <v>16253.7971</v>
      </c>
      <c r="I37" s="82">
        <v>1736.9208</v>
      </c>
      <c r="J37" s="82">
        <v>716.6499</v>
      </c>
      <c r="K37" s="82">
        <v>1020.2709</v>
      </c>
      <c r="L37" s="82">
        <v>0</v>
      </c>
      <c r="M37" s="82">
        <v>12603.6929</v>
      </c>
      <c r="N37" s="77"/>
      <c r="O37" s="82">
        <v>1601.5897</v>
      </c>
      <c r="P37" s="82">
        <v>14.8565</v>
      </c>
    </row>
    <row r="38" spans="1:16" ht="12.75">
      <c r="A38" s="82" t="s">
        <v>13</v>
      </c>
      <c r="B38" s="82">
        <v>33830.587</v>
      </c>
      <c r="C38" s="82">
        <v>33812.0558</v>
      </c>
      <c r="D38" s="82">
        <v>18.5311</v>
      </c>
      <c r="E38" s="82">
        <v>18.5311</v>
      </c>
      <c r="F38" s="82">
        <v>0</v>
      </c>
      <c r="G38" s="82">
        <v>0.8006</v>
      </c>
      <c r="H38" s="82">
        <v>35893.0994</v>
      </c>
      <c r="I38" s="82">
        <v>4483.7881</v>
      </c>
      <c r="J38" s="82">
        <v>1382.5644</v>
      </c>
      <c r="K38" s="82">
        <v>3101.2237</v>
      </c>
      <c r="L38" s="82">
        <v>0</v>
      </c>
      <c r="M38" s="82">
        <v>19967.5856</v>
      </c>
      <c r="N38" s="77"/>
      <c r="O38" s="82">
        <v>5655.4485</v>
      </c>
      <c r="P38" s="82">
        <v>0</v>
      </c>
    </row>
    <row r="39" spans="1:16" ht="12.75">
      <c r="A39" s="82" t="s">
        <v>35</v>
      </c>
      <c r="B39" s="82">
        <v>33738.7045</v>
      </c>
      <c r="C39" s="82">
        <v>33738.7044</v>
      </c>
      <c r="D39" s="82">
        <v>0</v>
      </c>
      <c r="E39" s="82">
        <v>0</v>
      </c>
      <c r="F39" s="82">
        <v>0</v>
      </c>
      <c r="G39" s="82">
        <v>7692.6711</v>
      </c>
      <c r="H39" s="82">
        <v>56168.5967</v>
      </c>
      <c r="I39" s="82">
        <v>39610.0494</v>
      </c>
      <c r="J39" s="82">
        <v>18883.6033</v>
      </c>
      <c r="K39" s="82">
        <v>20726.4461</v>
      </c>
      <c r="L39" s="82">
        <v>0</v>
      </c>
      <c r="M39" s="82">
        <v>13787.8943</v>
      </c>
      <c r="N39" s="77"/>
      <c r="O39" s="82">
        <v>735.5247</v>
      </c>
      <c r="P39" s="82">
        <v>0</v>
      </c>
    </row>
    <row r="40" spans="1:16" ht="12.75">
      <c r="A40" s="83" t="s">
        <v>33</v>
      </c>
      <c r="B40" s="83">
        <v>0.0512</v>
      </c>
      <c r="C40" s="83">
        <v>0.0512</v>
      </c>
      <c r="D40" s="83">
        <v>0</v>
      </c>
      <c r="E40" s="83">
        <v>0</v>
      </c>
      <c r="F40" s="83">
        <v>0</v>
      </c>
      <c r="G40" s="83">
        <v>256818.5581</v>
      </c>
      <c r="H40" s="83">
        <v>429036.6934</v>
      </c>
      <c r="I40" s="83">
        <v>82811.4719</v>
      </c>
      <c r="J40" s="83">
        <v>4849.9609</v>
      </c>
      <c r="K40" s="83">
        <v>77961.511</v>
      </c>
      <c r="L40" s="83">
        <v>0</v>
      </c>
      <c r="M40" s="83">
        <v>126752.5434</v>
      </c>
      <c r="N40" s="77"/>
      <c r="O40" s="83">
        <v>0</v>
      </c>
      <c r="P40" s="83">
        <v>0</v>
      </c>
    </row>
    <row r="41" spans="10:16" ht="12.75">
      <c r="J41" s="77"/>
      <c r="K41" s="77"/>
      <c r="L41" s="77"/>
      <c r="M41" s="77"/>
      <c r="N41" s="77"/>
      <c r="O41" s="77"/>
      <c r="P41" s="77"/>
    </row>
    <row r="42" spans="1:16" s="49" customFormat="1" ht="12.75">
      <c r="A42" s="78" t="s">
        <v>15</v>
      </c>
      <c r="B42" s="79">
        <v>41125938.5783</v>
      </c>
      <c r="C42" s="79">
        <v>27884979.454</v>
      </c>
      <c r="D42" s="79">
        <v>13240959.1236</v>
      </c>
      <c r="E42" s="79">
        <v>4877995.24</v>
      </c>
      <c r="F42" s="79">
        <v>8362963.8836</v>
      </c>
      <c r="G42" s="79">
        <v>9472339.7994</v>
      </c>
      <c r="H42" s="79">
        <v>58036130.5243</v>
      </c>
      <c r="I42" s="79">
        <v>33637490.7096</v>
      </c>
      <c r="J42" s="79">
        <v>7402704.2835</v>
      </c>
      <c r="K42" s="79">
        <v>26234786.4261</v>
      </c>
      <c r="L42" s="79">
        <v>7455741.6409</v>
      </c>
      <c r="M42" s="79">
        <v>4258622.9617</v>
      </c>
      <c r="N42" s="48"/>
      <c r="O42" s="79">
        <v>3171446.7656</v>
      </c>
      <c r="P42" s="79">
        <v>438180.0981</v>
      </c>
    </row>
    <row r="43" spans="1:16" s="49" customFormat="1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8"/>
      <c r="O43" s="87"/>
      <c r="P43" s="87"/>
    </row>
    <row r="44" ht="12.75">
      <c r="A44" s="45"/>
    </row>
    <row r="45" spans="1:13" ht="12.75">
      <c r="A45" s="3" t="s">
        <v>252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4" ht="12.75">
      <c r="A46" s="3" t="s">
        <v>259</v>
      </c>
      <c r="N46" s="49"/>
    </row>
    <row r="47" ht="12.75">
      <c r="N47" s="49"/>
    </row>
    <row r="48" spans="1:14" ht="12.75">
      <c r="A48" s="3" t="s">
        <v>103</v>
      </c>
      <c r="N48" s="49"/>
    </row>
    <row r="49" ht="12.75">
      <c r="N49" s="49"/>
    </row>
    <row r="50" ht="12.75">
      <c r="N50" s="49"/>
    </row>
    <row r="51" ht="12.75">
      <c r="N51" s="49"/>
    </row>
    <row r="52" ht="12.75">
      <c r="N52" s="49"/>
    </row>
    <row r="53" ht="12.75">
      <c r="N53" s="49"/>
    </row>
    <row r="54" ht="12.75">
      <c r="N54" s="49"/>
    </row>
    <row r="55" ht="12.75">
      <c r="N55" s="49"/>
    </row>
    <row r="56" ht="12.75">
      <c r="N56" s="49"/>
    </row>
    <row r="57" ht="12.75">
      <c r="N57" s="49"/>
    </row>
    <row r="58" ht="12.75">
      <c r="N58" s="49"/>
    </row>
    <row r="60" spans="1:13" ht="12.75">
      <c r="A60" s="47"/>
      <c r="B60" s="49"/>
      <c r="C60" s="49"/>
      <c r="D60" s="49"/>
      <c r="E60" s="49"/>
      <c r="F60" s="49"/>
      <c r="G60" s="49"/>
      <c r="H60" s="49"/>
      <c r="I60" s="49"/>
      <c r="J60" s="48"/>
      <c r="K60" s="49"/>
      <c r="L60" s="49"/>
      <c r="M60" s="49"/>
    </row>
    <row r="61" spans="1:13" ht="12.75">
      <c r="A61" s="49" t="s">
        <v>17</v>
      </c>
      <c r="B61" s="49"/>
      <c r="C61" s="49"/>
      <c r="D61" s="49"/>
      <c r="E61" s="49"/>
      <c r="F61" s="49"/>
      <c r="G61" s="49"/>
      <c r="H61" s="49"/>
      <c r="I61" s="49"/>
      <c r="J61" s="48"/>
      <c r="K61" s="49"/>
      <c r="L61" s="49"/>
      <c r="M61" s="49"/>
    </row>
    <row r="62" spans="1:13" ht="12.75">
      <c r="A62" s="49" t="s">
        <v>18</v>
      </c>
      <c r="B62" s="49"/>
      <c r="C62" s="49"/>
      <c r="D62" s="49"/>
      <c r="E62" s="49"/>
      <c r="F62" s="49"/>
      <c r="G62" s="49"/>
      <c r="H62" s="49"/>
      <c r="I62" s="49"/>
      <c r="J62" s="48"/>
      <c r="K62" s="49"/>
      <c r="L62" s="49"/>
      <c r="M62" s="49"/>
    </row>
    <row r="63" spans="1:13" ht="12.75">
      <c r="A63" s="49"/>
      <c r="B63" s="49"/>
      <c r="C63" s="49"/>
      <c r="D63" s="49"/>
      <c r="E63" s="49"/>
      <c r="F63" s="49"/>
      <c r="G63" s="49"/>
      <c r="H63" s="49"/>
      <c r="I63" s="49"/>
      <c r="J63" s="48"/>
      <c r="K63" s="49"/>
      <c r="L63" s="49"/>
      <c r="M63" s="49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7" t="s">
        <v>19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 t="s">
        <v>18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1" spans="1:13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M72" s="49"/>
    </row>
    <row r="73" spans="1:13" ht="12.75">
      <c r="A73" s="49"/>
      <c r="M73" s="49"/>
    </row>
  </sheetData>
  <mergeCells count="5">
    <mergeCell ref="D8:F8"/>
    <mergeCell ref="A4:P4"/>
    <mergeCell ref="A5:P5"/>
    <mergeCell ref="B7:F7"/>
    <mergeCell ref="I7:K7"/>
  </mergeCells>
  <hyperlinks>
    <hyperlink ref="P1" location="Indice!A1" display="Volver"/>
  </hyperlinks>
  <printOptions horizontalCentered="1" verticalCentered="1"/>
  <pageMargins left="0.17" right="0.17" top="0.35" bottom="0.28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A1" sqref="A1"/>
    </sheetView>
  </sheetViews>
  <sheetFormatPr defaultColWidth="11.00390625" defaultRowHeight="12.75"/>
  <cols>
    <col min="1" max="1" width="37.50390625" style="3" bestFit="1" customWidth="1"/>
    <col min="2" max="2" width="17.125" style="3" bestFit="1" customWidth="1"/>
    <col min="3" max="3" width="13.375" style="3" bestFit="1" customWidth="1"/>
    <col min="4" max="4" width="16.625" style="3" bestFit="1" customWidth="1"/>
    <col min="5" max="5" width="18.375" style="3" bestFit="1" customWidth="1"/>
    <col min="6" max="7" width="13.875" style="3" bestFit="1" customWidth="1"/>
    <col min="8" max="8" width="13.125" style="3" bestFit="1" customWidth="1"/>
    <col min="9" max="9" width="13.875" style="3" bestFit="1" customWidth="1"/>
    <col min="10" max="10" width="16.50390625" style="3" bestFit="1" customWidth="1"/>
    <col min="11" max="11" width="19.00390625" style="3" bestFit="1" customWidth="1"/>
    <col min="12" max="12" width="10.00390625" style="3" bestFit="1" customWidth="1"/>
    <col min="13" max="14" width="11.875" style="3" bestFit="1" customWidth="1"/>
    <col min="15" max="15" width="11.625" style="3" bestFit="1" customWidth="1"/>
    <col min="16" max="16" width="4.125" style="3" customWidth="1"/>
    <col min="17" max="17" width="12.50390625" style="3" bestFit="1" customWidth="1"/>
    <col min="18" max="16384" width="12.00390625" style="3" customWidth="1"/>
  </cols>
  <sheetData>
    <row r="1" spans="1:17" ht="12.75">
      <c r="A1" s="107" t="s">
        <v>144</v>
      </c>
      <c r="Q1" s="111" t="s">
        <v>151</v>
      </c>
    </row>
    <row r="2" ht="12.75">
      <c r="A2" s="107" t="s">
        <v>145</v>
      </c>
    </row>
    <row r="3" spans="1:17" ht="18">
      <c r="A3" s="182" t="s">
        <v>249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6" ht="12.75">
      <c r="A4" s="183" t="s">
        <v>91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12.75">
      <c r="A6" s="69"/>
      <c r="B6" s="69" t="s">
        <v>59</v>
      </c>
      <c r="C6" s="69" t="s">
        <v>39</v>
      </c>
      <c r="D6" s="69" t="s">
        <v>42</v>
      </c>
      <c r="E6" s="88" t="s">
        <v>43</v>
      </c>
      <c r="F6" s="115" t="s">
        <v>44</v>
      </c>
      <c r="G6" s="69" t="s">
        <v>47</v>
      </c>
      <c r="H6" s="69" t="s">
        <v>50</v>
      </c>
      <c r="I6" s="115" t="s">
        <v>44</v>
      </c>
      <c r="J6" s="69" t="s">
        <v>228</v>
      </c>
      <c r="K6" s="115" t="s">
        <v>229</v>
      </c>
      <c r="L6" s="69" t="s">
        <v>43</v>
      </c>
      <c r="M6" s="115" t="s">
        <v>44</v>
      </c>
      <c r="N6" s="69"/>
      <c r="O6" s="115" t="s">
        <v>44</v>
      </c>
      <c r="P6" s="89"/>
      <c r="Q6" s="69" t="s">
        <v>129</v>
      </c>
    </row>
    <row r="7" spans="1:17" ht="12.75">
      <c r="A7" s="72" t="s">
        <v>20</v>
      </c>
      <c r="B7" s="72" t="s">
        <v>57</v>
      </c>
      <c r="C7" s="72" t="s">
        <v>40</v>
      </c>
      <c r="D7" s="72" t="s">
        <v>230</v>
      </c>
      <c r="E7" s="67" t="s">
        <v>234</v>
      </c>
      <c r="F7" s="152" t="s">
        <v>45</v>
      </c>
      <c r="G7" s="72" t="s">
        <v>48</v>
      </c>
      <c r="H7" s="72" t="s">
        <v>51</v>
      </c>
      <c r="I7" s="152" t="s">
        <v>45</v>
      </c>
      <c r="J7" s="72" t="s">
        <v>98</v>
      </c>
      <c r="K7" s="152" t="s">
        <v>231</v>
      </c>
      <c r="L7" s="72" t="s">
        <v>54</v>
      </c>
      <c r="M7" s="152" t="s">
        <v>55</v>
      </c>
      <c r="N7" s="72" t="s">
        <v>94</v>
      </c>
      <c r="O7" s="152" t="s">
        <v>4</v>
      </c>
      <c r="P7" s="89"/>
      <c r="Q7" s="72" t="s">
        <v>130</v>
      </c>
    </row>
    <row r="8" spans="1:17" ht="12.75">
      <c r="A8" s="74"/>
      <c r="B8" s="74" t="s">
        <v>58</v>
      </c>
      <c r="C8" s="74"/>
      <c r="D8" s="74" t="s">
        <v>41</v>
      </c>
      <c r="E8" s="75" t="s">
        <v>235</v>
      </c>
      <c r="F8" s="153" t="s">
        <v>46</v>
      </c>
      <c r="G8" s="74" t="s">
        <v>45</v>
      </c>
      <c r="H8" s="74"/>
      <c r="I8" s="153" t="s">
        <v>52</v>
      </c>
      <c r="J8" s="74" t="s">
        <v>232</v>
      </c>
      <c r="K8" s="153" t="s">
        <v>233</v>
      </c>
      <c r="L8" s="74" t="s">
        <v>53</v>
      </c>
      <c r="M8" s="153" t="s">
        <v>56</v>
      </c>
      <c r="N8" s="74"/>
      <c r="O8" s="153"/>
      <c r="P8" s="89"/>
      <c r="Q8" s="74" t="s">
        <v>131</v>
      </c>
    </row>
    <row r="9" spans="3:15" ht="12.75">
      <c r="C9" s="77"/>
      <c r="D9" s="77"/>
      <c r="E9" s="77"/>
      <c r="F9" s="90"/>
      <c r="G9" s="77"/>
      <c r="H9" s="77"/>
      <c r="I9" s="90"/>
      <c r="J9" s="77"/>
      <c r="K9" s="90"/>
      <c r="L9" s="77"/>
      <c r="M9" s="90"/>
      <c r="N9" s="90"/>
      <c r="O9" s="64"/>
    </row>
    <row r="10" spans="1:17" ht="12.75">
      <c r="A10" s="78" t="s">
        <v>16</v>
      </c>
      <c r="B10" s="79">
        <v>862187.7049</v>
      </c>
      <c r="C10" s="79">
        <v>218706.1788</v>
      </c>
      <c r="D10" s="79">
        <v>72369.4803</v>
      </c>
      <c r="E10" s="79">
        <v>-828.504400000042</v>
      </c>
      <c r="F10" s="95">
        <v>1152434.8597</v>
      </c>
      <c r="G10" s="79">
        <v>561033.0979</v>
      </c>
      <c r="H10" s="79">
        <v>176858.8247</v>
      </c>
      <c r="I10" s="95">
        <v>414542.9371</v>
      </c>
      <c r="J10" s="79">
        <v>79501.8987</v>
      </c>
      <c r="K10" s="95">
        <v>494044.835800001</v>
      </c>
      <c r="L10" s="79">
        <v>-25971.6532</v>
      </c>
      <c r="M10" s="95">
        <v>468073.1823</v>
      </c>
      <c r="N10" s="79">
        <v>58251.4599</v>
      </c>
      <c r="O10" s="95">
        <v>409821.7224</v>
      </c>
      <c r="P10" s="89"/>
      <c r="Q10" s="79">
        <v>202482.0335</v>
      </c>
    </row>
    <row r="11" spans="1:17" ht="12.75">
      <c r="A11" s="81" t="s">
        <v>28</v>
      </c>
      <c r="B11" s="81">
        <v>5695.2577</v>
      </c>
      <c r="C11" s="81">
        <v>2993.5171</v>
      </c>
      <c r="D11" s="81">
        <v>112.3</v>
      </c>
      <c r="E11" s="81">
        <v>-1283.55510000002</v>
      </c>
      <c r="F11" s="91">
        <v>7517.51959999998</v>
      </c>
      <c r="G11" s="81">
        <v>5900.1151</v>
      </c>
      <c r="H11" s="81">
        <v>151.1956</v>
      </c>
      <c r="I11" s="91">
        <v>1466.20889999998</v>
      </c>
      <c r="J11" s="81">
        <v>19.8051</v>
      </c>
      <c r="K11" s="91">
        <v>1486.01420000002</v>
      </c>
      <c r="L11" s="81">
        <v>48.0825</v>
      </c>
      <c r="M11" s="91">
        <v>1534.0966</v>
      </c>
      <c r="N11" s="81">
        <v>266.1137</v>
      </c>
      <c r="O11" s="91">
        <v>1267.9829</v>
      </c>
      <c r="Q11" s="81">
        <v>300.7164</v>
      </c>
    </row>
    <row r="12" spans="1:17" ht="12.75">
      <c r="A12" s="82" t="s">
        <v>25</v>
      </c>
      <c r="B12" s="82">
        <v>57854.1627</v>
      </c>
      <c r="C12" s="82">
        <v>17883.4012</v>
      </c>
      <c r="D12" s="82">
        <v>11536.0606</v>
      </c>
      <c r="E12" s="82">
        <v>-2211.05550000005</v>
      </c>
      <c r="F12" s="92">
        <v>85062.5690999999</v>
      </c>
      <c r="G12" s="82">
        <v>48184.474</v>
      </c>
      <c r="H12" s="82">
        <v>20127.2428</v>
      </c>
      <c r="I12" s="92">
        <v>16750.8522999999</v>
      </c>
      <c r="J12" s="82">
        <v>4135.8696</v>
      </c>
      <c r="K12" s="92">
        <v>20886.7218</v>
      </c>
      <c r="L12" s="82">
        <v>2951.877</v>
      </c>
      <c r="M12" s="92">
        <v>23838.5987</v>
      </c>
      <c r="N12" s="82">
        <v>2994.1795</v>
      </c>
      <c r="O12" s="92">
        <v>20844.4192</v>
      </c>
      <c r="Q12" s="82">
        <v>23010.0025</v>
      </c>
    </row>
    <row r="13" spans="1:17" ht="12.75">
      <c r="A13" s="82" t="s">
        <v>5</v>
      </c>
      <c r="B13" s="82">
        <v>18178.1712</v>
      </c>
      <c r="C13" s="82">
        <v>4164.2631</v>
      </c>
      <c r="D13" s="82">
        <v>239.4186</v>
      </c>
      <c r="E13" s="82">
        <v>1090.44469999997</v>
      </c>
      <c r="F13" s="92">
        <v>23672.2975999999</v>
      </c>
      <c r="G13" s="82">
        <v>14381.5579</v>
      </c>
      <c r="H13" s="82">
        <v>986.7495</v>
      </c>
      <c r="I13" s="92">
        <v>8303.99019999992</v>
      </c>
      <c r="J13" s="82">
        <v>4166.1802</v>
      </c>
      <c r="K13" s="92">
        <v>12470.1704</v>
      </c>
      <c r="L13" s="82">
        <v>133.731</v>
      </c>
      <c r="M13" s="92">
        <v>12603.9013</v>
      </c>
      <c r="N13" s="82">
        <v>1279.486</v>
      </c>
      <c r="O13" s="92">
        <v>11324.4152</v>
      </c>
      <c r="Q13" s="82">
        <v>1196.8151</v>
      </c>
    </row>
    <row r="14" spans="1:17" ht="12.75">
      <c r="A14" s="82" t="s">
        <v>6</v>
      </c>
      <c r="B14" s="82">
        <v>59465.494</v>
      </c>
      <c r="C14" s="82">
        <v>9391.8083</v>
      </c>
      <c r="D14" s="82">
        <v>4974.959</v>
      </c>
      <c r="E14" s="82">
        <v>1073.2345</v>
      </c>
      <c r="F14" s="92">
        <v>74905.4959</v>
      </c>
      <c r="G14" s="82">
        <v>30474.6493</v>
      </c>
      <c r="H14" s="82">
        <v>13766.5845</v>
      </c>
      <c r="I14" s="92">
        <v>30664.2621</v>
      </c>
      <c r="J14" s="82">
        <v>5553.1881</v>
      </c>
      <c r="K14" s="92">
        <v>36217.4502</v>
      </c>
      <c r="L14" s="82">
        <v>-1115.07760000002</v>
      </c>
      <c r="M14" s="92">
        <v>35102.3724</v>
      </c>
      <c r="N14" s="82">
        <v>5646.06</v>
      </c>
      <c r="O14" s="92">
        <v>29456.3124</v>
      </c>
      <c r="Q14" s="82">
        <v>9096.7041</v>
      </c>
    </row>
    <row r="15" spans="1:17" ht="12.75">
      <c r="A15" s="82" t="s">
        <v>7</v>
      </c>
      <c r="B15" s="82">
        <v>183712.4398</v>
      </c>
      <c r="C15" s="82">
        <v>55020.8669</v>
      </c>
      <c r="D15" s="82">
        <v>19618.0909</v>
      </c>
      <c r="E15" s="82">
        <v>-1512.84559999999</v>
      </c>
      <c r="F15" s="92">
        <v>256838.5521</v>
      </c>
      <c r="G15" s="82">
        <v>123699.9587</v>
      </c>
      <c r="H15" s="82">
        <v>28309.3706</v>
      </c>
      <c r="I15" s="92">
        <v>104829.2228</v>
      </c>
      <c r="J15" s="82">
        <v>15073.9001</v>
      </c>
      <c r="K15" s="92">
        <v>119903.1227</v>
      </c>
      <c r="L15" s="82">
        <v>-2533.97560000001</v>
      </c>
      <c r="M15" s="92">
        <v>117369.1469</v>
      </c>
      <c r="N15" s="82">
        <v>9148.7943</v>
      </c>
      <c r="O15" s="92">
        <v>108220.3526</v>
      </c>
      <c r="Q15" s="82">
        <v>45569.0024</v>
      </c>
    </row>
    <row r="16" spans="1:17" ht="12.75">
      <c r="A16" s="82" t="s">
        <v>141</v>
      </c>
      <c r="B16" s="82">
        <v>114892.9574</v>
      </c>
      <c r="C16" s="82">
        <v>32298.9185</v>
      </c>
      <c r="D16" s="82">
        <v>7121.9364</v>
      </c>
      <c r="E16" s="82">
        <v>1247.46609999995</v>
      </c>
      <c r="F16" s="92">
        <v>155561.2784</v>
      </c>
      <c r="G16" s="82">
        <v>79879.3329</v>
      </c>
      <c r="H16" s="82">
        <v>17307.7978</v>
      </c>
      <c r="I16" s="92">
        <v>58374.1477</v>
      </c>
      <c r="J16" s="82">
        <v>17144.938</v>
      </c>
      <c r="K16" s="92">
        <v>75519.0857999999</v>
      </c>
      <c r="L16" s="82">
        <v>-4134.27890000003</v>
      </c>
      <c r="M16" s="92">
        <v>71384.8064</v>
      </c>
      <c r="N16" s="82">
        <v>9778.9557</v>
      </c>
      <c r="O16" s="92">
        <v>61605.8507</v>
      </c>
      <c r="Q16" s="82">
        <v>28166.5667</v>
      </c>
    </row>
    <row r="17" spans="1:17" ht="12.75">
      <c r="A17" s="82" t="s">
        <v>8</v>
      </c>
      <c r="B17" s="82">
        <v>38517.5409</v>
      </c>
      <c r="C17" s="82">
        <v>10692.9018</v>
      </c>
      <c r="D17" s="82">
        <v>3099.5558</v>
      </c>
      <c r="E17" s="82">
        <v>-732.868600000052</v>
      </c>
      <c r="F17" s="92">
        <v>51577.1298</v>
      </c>
      <c r="G17" s="82">
        <v>26437.9209</v>
      </c>
      <c r="H17" s="82">
        <v>13119.298</v>
      </c>
      <c r="I17" s="92">
        <v>12019.9109</v>
      </c>
      <c r="J17" s="82">
        <v>568.6442</v>
      </c>
      <c r="K17" s="92">
        <v>12588.5553</v>
      </c>
      <c r="L17" s="82">
        <v>-991.294400000013</v>
      </c>
      <c r="M17" s="92">
        <v>11597.2607</v>
      </c>
      <c r="N17" s="82">
        <v>1651.8438</v>
      </c>
      <c r="O17" s="92">
        <v>9945.4169</v>
      </c>
      <c r="Q17" s="82">
        <v>7970.8457</v>
      </c>
    </row>
    <row r="18" spans="1:17" ht="12.75">
      <c r="A18" s="82" t="s">
        <v>31</v>
      </c>
      <c r="B18" s="82">
        <v>-2232.88680000001</v>
      </c>
      <c r="C18" s="82">
        <v>-129.825400000031</v>
      </c>
      <c r="D18" s="82">
        <v>0</v>
      </c>
      <c r="E18" s="82">
        <v>6298.5628</v>
      </c>
      <c r="F18" s="92">
        <v>3935.85059999996</v>
      </c>
      <c r="G18" s="82">
        <v>2652.3375</v>
      </c>
      <c r="H18" s="82">
        <v>72.7896</v>
      </c>
      <c r="I18" s="92">
        <v>1210.72349999996</v>
      </c>
      <c r="J18" s="82">
        <v>0</v>
      </c>
      <c r="K18" s="92">
        <v>1210.72350000001</v>
      </c>
      <c r="L18" s="82">
        <v>0</v>
      </c>
      <c r="M18" s="92">
        <v>1210.7233</v>
      </c>
      <c r="N18" s="82">
        <v>166.5851</v>
      </c>
      <c r="O18" s="92">
        <v>1044.1381</v>
      </c>
      <c r="Q18" s="82">
        <v>0</v>
      </c>
    </row>
    <row r="19" spans="1:17" ht="12.75">
      <c r="A19" s="82" t="s">
        <v>11</v>
      </c>
      <c r="B19" s="82">
        <v>21385.5482</v>
      </c>
      <c r="C19" s="82">
        <v>3601.2946</v>
      </c>
      <c r="D19" s="82">
        <v>826.2948</v>
      </c>
      <c r="E19" s="82">
        <v>-630.253200000047</v>
      </c>
      <c r="F19" s="92">
        <v>25182.8844999999</v>
      </c>
      <c r="G19" s="82">
        <v>10615.446</v>
      </c>
      <c r="H19" s="82">
        <v>5265.7772</v>
      </c>
      <c r="I19" s="92">
        <v>9301.66129999993</v>
      </c>
      <c r="J19" s="82">
        <v>7.2172</v>
      </c>
      <c r="K19" s="92">
        <v>9308.87859999995</v>
      </c>
      <c r="L19" s="82">
        <v>76.5346</v>
      </c>
      <c r="M19" s="92">
        <v>9385.413</v>
      </c>
      <c r="N19" s="82">
        <v>1619.8458</v>
      </c>
      <c r="O19" s="92">
        <v>7765.5671</v>
      </c>
      <c r="Q19" s="82">
        <v>4982.9738</v>
      </c>
    </row>
    <row r="20" spans="1:17" ht="12.75">
      <c r="A20" s="82" t="s">
        <v>24</v>
      </c>
      <c r="B20" s="82">
        <v>3593.2466</v>
      </c>
      <c r="C20" s="82">
        <v>246.4705</v>
      </c>
      <c r="D20" s="82">
        <v>296.1172</v>
      </c>
      <c r="E20" s="82">
        <v>789.00379999996</v>
      </c>
      <c r="F20" s="92">
        <v>4924.83799999996</v>
      </c>
      <c r="G20" s="82">
        <v>4152.6717</v>
      </c>
      <c r="H20" s="82">
        <v>506.1513</v>
      </c>
      <c r="I20" s="92">
        <v>266.014999999961</v>
      </c>
      <c r="J20" s="82">
        <v>-3.89530000003288</v>
      </c>
      <c r="K20" s="92">
        <v>262.119999999929</v>
      </c>
      <c r="L20" s="82">
        <v>0.0252</v>
      </c>
      <c r="M20" s="92">
        <v>262.1449</v>
      </c>
      <c r="N20" s="82">
        <v>-99.0283000000054</v>
      </c>
      <c r="O20" s="92">
        <v>361.1732</v>
      </c>
      <c r="Q20" s="82">
        <v>859.7666</v>
      </c>
    </row>
    <row r="21" spans="1:17" ht="12.75">
      <c r="A21" s="82" t="s">
        <v>29</v>
      </c>
      <c r="B21" s="82">
        <v>601.915099999959</v>
      </c>
      <c r="C21" s="82">
        <v>14.6648</v>
      </c>
      <c r="D21" s="82">
        <v>0</v>
      </c>
      <c r="E21" s="82">
        <v>1385.1897</v>
      </c>
      <c r="F21" s="92">
        <v>2001.76969999996</v>
      </c>
      <c r="G21" s="82">
        <v>3679.8544</v>
      </c>
      <c r="H21" s="82">
        <v>-425.395000000019</v>
      </c>
      <c r="I21" s="92">
        <v>-1252.68970000002</v>
      </c>
      <c r="J21" s="82">
        <v>2.4969</v>
      </c>
      <c r="K21" s="92">
        <v>-1250.19289999998</v>
      </c>
      <c r="L21" s="82">
        <v>37.9399</v>
      </c>
      <c r="M21" s="92">
        <v>-1212.25290000002</v>
      </c>
      <c r="N21" s="82">
        <v>-226.562300000049</v>
      </c>
      <c r="O21" s="92">
        <v>-985.690500000026</v>
      </c>
      <c r="Q21" s="82">
        <v>0</v>
      </c>
    </row>
    <row r="22" spans="1:17" ht="12.75">
      <c r="A22" s="82" t="s">
        <v>9</v>
      </c>
      <c r="B22" s="82">
        <v>4981.2089</v>
      </c>
      <c r="C22" s="82">
        <v>633.5185</v>
      </c>
      <c r="D22" s="82">
        <v>47.3447</v>
      </c>
      <c r="E22" s="82">
        <v>-66.1590000000163</v>
      </c>
      <c r="F22" s="92">
        <v>5595.91309999997</v>
      </c>
      <c r="G22" s="82">
        <v>3982.7152</v>
      </c>
      <c r="H22" s="82">
        <v>358.5843</v>
      </c>
      <c r="I22" s="92">
        <v>1254.61359999997</v>
      </c>
      <c r="J22" s="82">
        <v>26.2546</v>
      </c>
      <c r="K22" s="92">
        <v>1280.86839999998</v>
      </c>
      <c r="L22" s="82">
        <v>-45.5444000000134</v>
      </c>
      <c r="M22" s="92">
        <v>1235.3238</v>
      </c>
      <c r="N22" s="82">
        <v>74.4341</v>
      </c>
      <c r="O22" s="92">
        <v>1160.8897</v>
      </c>
      <c r="Q22" s="82">
        <v>112.7789</v>
      </c>
    </row>
    <row r="23" spans="1:17" ht="12.75">
      <c r="A23" s="82" t="s">
        <v>26</v>
      </c>
      <c r="B23" s="82">
        <v>705.8472</v>
      </c>
      <c r="C23" s="82">
        <v>31.2434</v>
      </c>
      <c r="D23" s="82">
        <v>0</v>
      </c>
      <c r="E23" s="82">
        <v>-39.0644999999972</v>
      </c>
      <c r="F23" s="92">
        <v>698.026100000003</v>
      </c>
      <c r="G23" s="82">
        <v>981.3457</v>
      </c>
      <c r="H23" s="82">
        <v>-0.875600000028498</v>
      </c>
      <c r="I23" s="92">
        <v>-282.443999999969</v>
      </c>
      <c r="J23" s="82">
        <v>235.7034</v>
      </c>
      <c r="K23" s="92">
        <v>-46.7405999999687</v>
      </c>
      <c r="L23" s="82">
        <v>81.6286</v>
      </c>
      <c r="M23" s="92">
        <v>34.888</v>
      </c>
      <c r="N23" s="82">
        <v>14.8745</v>
      </c>
      <c r="O23" s="92">
        <v>20.0135</v>
      </c>
      <c r="Q23" s="82">
        <v>0</v>
      </c>
    </row>
    <row r="24" spans="1:17" ht="12.75">
      <c r="A24" s="82" t="s">
        <v>108</v>
      </c>
      <c r="B24" s="82">
        <v>10402.8276</v>
      </c>
      <c r="C24" s="82">
        <v>3896.7438</v>
      </c>
      <c r="D24" s="82">
        <v>291.6714</v>
      </c>
      <c r="E24" s="82">
        <v>-118.413300000029</v>
      </c>
      <c r="F24" s="92">
        <v>14472.8294999999</v>
      </c>
      <c r="G24" s="82">
        <v>7496.63</v>
      </c>
      <c r="H24" s="82">
        <v>3934.6734</v>
      </c>
      <c r="I24" s="92">
        <v>3041.52609999991</v>
      </c>
      <c r="J24" s="82">
        <v>0</v>
      </c>
      <c r="K24" s="92">
        <v>3041.52599999999</v>
      </c>
      <c r="L24" s="82">
        <v>54.9972</v>
      </c>
      <c r="M24" s="92">
        <v>3096.5231</v>
      </c>
      <c r="N24" s="82">
        <v>526.4087</v>
      </c>
      <c r="O24" s="92">
        <v>2570.1143</v>
      </c>
      <c r="Q24" s="82">
        <v>3977.8433</v>
      </c>
    </row>
    <row r="25" spans="1:17" ht="12.75">
      <c r="A25" s="82" t="s">
        <v>30</v>
      </c>
      <c r="B25" s="82">
        <v>416.663</v>
      </c>
      <c r="C25" s="82">
        <v>963.392</v>
      </c>
      <c r="D25" s="82">
        <v>0</v>
      </c>
      <c r="E25" s="82">
        <v>1.04899999995762</v>
      </c>
      <c r="F25" s="92">
        <v>1381.10409999993</v>
      </c>
      <c r="G25" s="82">
        <v>4558.1541</v>
      </c>
      <c r="H25" s="82">
        <v>0</v>
      </c>
      <c r="I25" s="92">
        <v>-3177.05000000007</v>
      </c>
      <c r="J25" s="82">
        <v>166.5433</v>
      </c>
      <c r="K25" s="92">
        <v>-3010.50660000004</v>
      </c>
      <c r="L25" s="82">
        <v>21.0827</v>
      </c>
      <c r="M25" s="92">
        <v>-2989.424</v>
      </c>
      <c r="N25" s="82">
        <v>-528.166400000046</v>
      </c>
      <c r="O25" s="92">
        <v>-2461.25750000001</v>
      </c>
      <c r="Q25" s="82">
        <v>0</v>
      </c>
    </row>
    <row r="26" spans="1:17" ht="12.75">
      <c r="A26" s="82" t="s">
        <v>22</v>
      </c>
      <c r="B26" s="82">
        <v>8624.16859999998</v>
      </c>
      <c r="C26" s="82">
        <v>1604.4249</v>
      </c>
      <c r="D26" s="82">
        <v>0.0125</v>
      </c>
      <c r="E26" s="82">
        <v>195.625199999974</v>
      </c>
      <c r="F26" s="92">
        <v>10424.2311999999</v>
      </c>
      <c r="G26" s="82">
        <v>7402.8595</v>
      </c>
      <c r="H26" s="82">
        <v>2296.4727</v>
      </c>
      <c r="I26" s="92">
        <v>724.89899999995</v>
      </c>
      <c r="J26" s="82">
        <v>162.9624</v>
      </c>
      <c r="K26" s="92">
        <v>887.861499999976</v>
      </c>
      <c r="L26" s="82">
        <v>181.904</v>
      </c>
      <c r="M26" s="92">
        <v>1069.7654</v>
      </c>
      <c r="N26" s="82">
        <v>0</v>
      </c>
      <c r="O26" s="92">
        <v>1069.7654</v>
      </c>
      <c r="Q26" s="82">
        <v>2634.6607</v>
      </c>
    </row>
    <row r="27" spans="1:17" ht="12.75">
      <c r="A27" s="82" t="s">
        <v>10</v>
      </c>
      <c r="B27" s="82">
        <v>284688.3331</v>
      </c>
      <c r="C27" s="82">
        <v>64351.5653</v>
      </c>
      <c r="D27" s="82">
        <v>22177.8182</v>
      </c>
      <c r="E27" s="82">
        <v>-5669.08260000003</v>
      </c>
      <c r="F27" s="92">
        <v>365548.6341</v>
      </c>
      <c r="G27" s="82">
        <v>149767.4005</v>
      </c>
      <c r="H27" s="82">
        <v>58995.3536</v>
      </c>
      <c r="I27" s="92">
        <v>156785.88</v>
      </c>
      <c r="J27" s="82">
        <v>26225.3478</v>
      </c>
      <c r="K27" s="92">
        <v>183011.228</v>
      </c>
      <c r="L27" s="82">
        <v>-21500.9864</v>
      </c>
      <c r="M27" s="92">
        <v>161510.2413</v>
      </c>
      <c r="N27" s="82">
        <v>23757.9723</v>
      </c>
      <c r="O27" s="92">
        <v>137752.269</v>
      </c>
      <c r="Q27" s="82">
        <v>65403.7761</v>
      </c>
    </row>
    <row r="28" spans="1:17" ht="12.75">
      <c r="A28" s="82" t="s">
        <v>32</v>
      </c>
      <c r="B28" s="82">
        <v>26080.9678</v>
      </c>
      <c r="C28" s="82">
        <v>3921.6174</v>
      </c>
      <c r="D28" s="82">
        <v>549.8397</v>
      </c>
      <c r="E28" s="82">
        <v>1028.82189999995</v>
      </c>
      <c r="F28" s="92">
        <v>31581.2468</v>
      </c>
      <c r="G28" s="82">
        <v>15227.9461</v>
      </c>
      <c r="H28" s="82">
        <v>5198.0085</v>
      </c>
      <c r="I28" s="92">
        <v>11155.2922</v>
      </c>
      <c r="J28" s="82">
        <v>3204.196</v>
      </c>
      <c r="K28" s="92">
        <v>14359.4885</v>
      </c>
      <c r="L28" s="82">
        <v>-658.318300000043</v>
      </c>
      <c r="M28" s="92">
        <v>13701.1699</v>
      </c>
      <c r="N28" s="82">
        <v>1545</v>
      </c>
      <c r="O28" s="92">
        <v>12156.1699</v>
      </c>
      <c r="Q28" s="82">
        <v>3746.8777</v>
      </c>
    </row>
    <row r="29" spans="1:17" ht="12.75">
      <c r="A29" s="83" t="s">
        <v>21</v>
      </c>
      <c r="B29" s="83">
        <v>24623.8419</v>
      </c>
      <c r="C29" s="83">
        <v>7125.3916</v>
      </c>
      <c r="D29" s="83">
        <v>1478.0599</v>
      </c>
      <c r="E29" s="83">
        <v>-1674.60400000001</v>
      </c>
      <c r="F29" s="93">
        <v>31552.6894999999</v>
      </c>
      <c r="G29" s="83">
        <v>21557.7275</v>
      </c>
      <c r="H29" s="83">
        <v>6889.0453</v>
      </c>
      <c r="I29" s="93">
        <v>3105.91669999994</v>
      </c>
      <c r="J29" s="83">
        <v>2812.5467</v>
      </c>
      <c r="K29" s="93">
        <v>5918.46339999999</v>
      </c>
      <c r="L29" s="83">
        <v>1420.0194</v>
      </c>
      <c r="M29" s="93">
        <v>7338.4828</v>
      </c>
      <c r="N29" s="83">
        <v>634.6631</v>
      </c>
      <c r="O29" s="93">
        <v>6703.8196</v>
      </c>
      <c r="Q29" s="83">
        <v>5452.7029</v>
      </c>
    </row>
    <row r="30" spans="6:15" ht="12.75">
      <c r="F30" s="64"/>
      <c r="I30" s="64"/>
      <c r="K30" s="64"/>
      <c r="M30" s="64"/>
      <c r="O30" s="64"/>
    </row>
    <row r="31" spans="1:17" ht="12.75">
      <c r="A31" s="79" t="s">
        <v>140</v>
      </c>
      <c r="B31" s="79">
        <v>138555.4687</v>
      </c>
      <c r="C31" s="79">
        <v>39442.9694</v>
      </c>
      <c r="D31" s="79">
        <v>12571.538</v>
      </c>
      <c r="E31" s="79">
        <v>10602.7524</v>
      </c>
      <c r="F31" s="95">
        <v>201172.7284</v>
      </c>
      <c r="G31" s="79">
        <v>118410.4001</v>
      </c>
      <c r="H31" s="79">
        <v>26682.3001</v>
      </c>
      <c r="I31" s="95">
        <v>56080.0282</v>
      </c>
      <c r="J31" s="79">
        <v>5342.6121</v>
      </c>
      <c r="K31" s="95">
        <v>61422.6406</v>
      </c>
      <c r="L31" s="79">
        <v>-4953.4093</v>
      </c>
      <c r="M31" s="95">
        <v>56469.231</v>
      </c>
      <c r="N31" s="79">
        <v>30879.9177</v>
      </c>
      <c r="O31" s="95">
        <v>25589.3133</v>
      </c>
      <c r="P31" s="80"/>
      <c r="Q31" s="79">
        <v>23391.8525</v>
      </c>
    </row>
    <row r="32" spans="1:17" ht="12.75">
      <c r="A32" s="80"/>
      <c r="B32" s="80"/>
      <c r="C32" s="80"/>
      <c r="D32" s="80"/>
      <c r="E32" s="80"/>
      <c r="F32" s="64"/>
      <c r="G32" s="80"/>
      <c r="H32" s="80"/>
      <c r="I32" s="64"/>
      <c r="J32" s="80"/>
      <c r="K32" s="64"/>
      <c r="L32" s="80"/>
      <c r="M32" s="64"/>
      <c r="N32" s="80"/>
      <c r="O32" s="64"/>
      <c r="P32" s="80"/>
      <c r="Q32" s="80"/>
    </row>
    <row r="33" spans="1:17" ht="12.75">
      <c r="A33" s="79" t="s">
        <v>23</v>
      </c>
      <c r="B33" s="79">
        <v>105503.5909</v>
      </c>
      <c r="C33" s="79">
        <v>16129.2307</v>
      </c>
      <c r="D33" s="79">
        <v>4403.0279</v>
      </c>
      <c r="E33" s="79">
        <v>-974.64920000004</v>
      </c>
      <c r="F33" s="95">
        <v>125061.2003</v>
      </c>
      <c r="G33" s="79">
        <v>84219.5943</v>
      </c>
      <c r="H33" s="79">
        <v>9504.8771</v>
      </c>
      <c r="I33" s="95">
        <v>31336.7288999999</v>
      </c>
      <c r="J33" s="79">
        <v>4059.7595</v>
      </c>
      <c r="K33" s="95">
        <v>35396.4886</v>
      </c>
      <c r="L33" s="79">
        <v>2760.5388</v>
      </c>
      <c r="M33" s="95">
        <v>38157.0273</v>
      </c>
      <c r="N33" s="79">
        <v>6584.2587</v>
      </c>
      <c r="O33" s="95">
        <v>31572.7686</v>
      </c>
      <c r="P33" s="80"/>
      <c r="Q33" s="79">
        <v>14575.1003</v>
      </c>
    </row>
    <row r="34" spans="1:17" ht="12.75">
      <c r="A34" s="82" t="s">
        <v>34</v>
      </c>
      <c r="B34" s="81">
        <v>28108.8689</v>
      </c>
      <c r="C34" s="82">
        <v>5800.8234</v>
      </c>
      <c r="D34" s="82">
        <v>718.9678</v>
      </c>
      <c r="E34" s="82">
        <v>203.895499999972</v>
      </c>
      <c r="F34" s="92">
        <v>34832.5554999999</v>
      </c>
      <c r="G34" s="82">
        <v>24112.9399</v>
      </c>
      <c r="H34" s="82">
        <v>4362.5197</v>
      </c>
      <c r="I34" s="92">
        <v>6357.09589999993</v>
      </c>
      <c r="J34" s="82">
        <v>1095.7933</v>
      </c>
      <c r="K34" s="92">
        <v>7452.88929999996</v>
      </c>
      <c r="L34" s="82">
        <v>581.6965</v>
      </c>
      <c r="M34" s="92">
        <v>8034.5856</v>
      </c>
      <c r="N34" s="82">
        <v>928.8855</v>
      </c>
      <c r="O34" s="91">
        <v>7105.7001</v>
      </c>
      <c r="Q34" s="81">
        <v>7441.9535</v>
      </c>
    </row>
    <row r="35" spans="1:17" ht="12.75">
      <c r="A35" s="82" t="s">
        <v>12</v>
      </c>
      <c r="B35" s="82">
        <v>52053.9709</v>
      </c>
      <c r="C35" s="82">
        <v>10164.862</v>
      </c>
      <c r="D35" s="82">
        <v>3421.6934</v>
      </c>
      <c r="E35" s="82">
        <v>-1602.70840000002</v>
      </c>
      <c r="F35" s="92">
        <v>64037.8179</v>
      </c>
      <c r="G35" s="82">
        <v>54606.8512</v>
      </c>
      <c r="H35" s="82">
        <v>5149.4279</v>
      </c>
      <c r="I35" s="92">
        <v>4281.53879999998</v>
      </c>
      <c r="J35" s="82">
        <v>2963.9662</v>
      </c>
      <c r="K35" s="92">
        <v>7245.50529999999</v>
      </c>
      <c r="L35" s="82">
        <v>1953.4524</v>
      </c>
      <c r="M35" s="92">
        <v>9198.9574</v>
      </c>
      <c r="N35" s="82">
        <v>2077.7716</v>
      </c>
      <c r="O35" s="92">
        <v>7121.1857</v>
      </c>
      <c r="Q35" s="82">
        <v>7030.4884</v>
      </c>
    </row>
    <row r="36" spans="1:17" ht="12.75">
      <c r="A36" s="82" t="s">
        <v>14</v>
      </c>
      <c r="B36" s="82">
        <v>357.1075</v>
      </c>
      <c r="C36" s="82">
        <v>29.6255</v>
      </c>
      <c r="D36" s="82">
        <v>6.5225</v>
      </c>
      <c r="E36" s="82">
        <v>-159.374700000002</v>
      </c>
      <c r="F36" s="92">
        <v>233.880799999998</v>
      </c>
      <c r="G36" s="82">
        <v>391.2364</v>
      </c>
      <c r="H36" s="82">
        <v>88.5269</v>
      </c>
      <c r="I36" s="92">
        <v>-245.882500000002</v>
      </c>
      <c r="J36" s="82">
        <v>0</v>
      </c>
      <c r="K36" s="92">
        <v>-245.882300000002</v>
      </c>
      <c r="L36" s="82">
        <v>43.0287</v>
      </c>
      <c r="M36" s="92">
        <v>-202.853700000036</v>
      </c>
      <c r="N36" s="82">
        <v>0</v>
      </c>
      <c r="O36" s="92">
        <v>-202.853700000036</v>
      </c>
      <c r="Q36" s="82">
        <v>102.6583</v>
      </c>
    </row>
    <row r="37" spans="1:17" ht="12.75">
      <c r="A37" s="82" t="s">
        <v>13</v>
      </c>
      <c r="B37" s="82">
        <v>737.0302</v>
      </c>
      <c r="C37" s="82">
        <v>38.447</v>
      </c>
      <c r="D37" s="82">
        <v>255.844</v>
      </c>
      <c r="E37" s="82">
        <v>-274.2451</v>
      </c>
      <c r="F37" s="92">
        <v>757.0761</v>
      </c>
      <c r="G37" s="82">
        <v>1056.0117</v>
      </c>
      <c r="H37" s="82">
        <v>4.3325</v>
      </c>
      <c r="I37" s="92">
        <v>-303.2681</v>
      </c>
      <c r="J37" s="82">
        <v>0</v>
      </c>
      <c r="K37" s="92">
        <v>-303.267999999983</v>
      </c>
      <c r="L37" s="82">
        <v>30.8245</v>
      </c>
      <c r="M37" s="92">
        <v>-272.443400000047</v>
      </c>
      <c r="N37" s="82">
        <v>-2.20230000000447</v>
      </c>
      <c r="O37" s="92">
        <v>-270.241100000043</v>
      </c>
      <c r="Q37" s="82">
        <v>0</v>
      </c>
    </row>
    <row r="38" spans="1:17" ht="12.75">
      <c r="A38" s="82" t="s">
        <v>35</v>
      </c>
      <c r="B38" s="82">
        <v>932.5119</v>
      </c>
      <c r="C38" s="82">
        <v>82.4601</v>
      </c>
      <c r="D38" s="82">
        <v>0</v>
      </c>
      <c r="E38" s="82">
        <v>-189.750900000016</v>
      </c>
      <c r="F38" s="92">
        <v>825.221099999984</v>
      </c>
      <c r="G38" s="82">
        <v>689.2631</v>
      </c>
      <c r="H38" s="82">
        <v>-39.6410000000033</v>
      </c>
      <c r="I38" s="92">
        <v>175.598999999987</v>
      </c>
      <c r="J38" s="82">
        <v>0</v>
      </c>
      <c r="K38" s="92">
        <v>175.599199999987</v>
      </c>
      <c r="L38" s="82">
        <v>-22.2992000000086</v>
      </c>
      <c r="M38" s="92">
        <v>153.2998</v>
      </c>
      <c r="N38" s="82">
        <v>0</v>
      </c>
      <c r="O38" s="92">
        <v>153.2998</v>
      </c>
      <c r="Q38" s="82">
        <v>0</v>
      </c>
    </row>
    <row r="39" spans="1:17" ht="12.75">
      <c r="A39" s="83" t="s">
        <v>33</v>
      </c>
      <c r="B39" s="83">
        <v>23314.1014</v>
      </c>
      <c r="C39" s="83">
        <v>13.0125</v>
      </c>
      <c r="D39" s="83">
        <v>0</v>
      </c>
      <c r="E39" s="83">
        <v>1047.53469999994</v>
      </c>
      <c r="F39" s="93">
        <v>24374.6486</v>
      </c>
      <c r="G39" s="83">
        <v>3363.2917</v>
      </c>
      <c r="H39" s="83">
        <v>-60.2889000000432</v>
      </c>
      <c r="I39" s="93">
        <v>21071.6458</v>
      </c>
      <c r="J39" s="83">
        <v>0</v>
      </c>
      <c r="K39" s="93">
        <v>21071.6458</v>
      </c>
      <c r="L39" s="83">
        <v>173.8358</v>
      </c>
      <c r="M39" s="93">
        <v>21245.4816</v>
      </c>
      <c r="N39" s="83">
        <v>3579.8038</v>
      </c>
      <c r="O39" s="93">
        <v>17665.6778</v>
      </c>
      <c r="Q39" s="83">
        <v>0</v>
      </c>
    </row>
    <row r="41" spans="1:17" ht="12.75">
      <c r="A41" s="78" t="s">
        <v>15</v>
      </c>
      <c r="B41" s="79">
        <v>1106246.7645</v>
      </c>
      <c r="C41" s="79">
        <v>274278.3791</v>
      </c>
      <c r="D41" s="79">
        <v>89344.0462</v>
      </c>
      <c r="E41" s="79">
        <v>8799.5989</v>
      </c>
      <c r="F41" s="95">
        <v>1478668.7887</v>
      </c>
      <c r="G41" s="79">
        <v>763663.0924</v>
      </c>
      <c r="H41" s="79">
        <v>213046.0021</v>
      </c>
      <c r="I41" s="95">
        <v>501959.6942</v>
      </c>
      <c r="J41" s="79">
        <v>88904.2704</v>
      </c>
      <c r="K41" s="95">
        <v>590863.9648</v>
      </c>
      <c r="L41" s="79">
        <v>-28164.5238</v>
      </c>
      <c r="M41" s="95">
        <v>562699.4407</v>
      </c>
      <c r="N41" s="79">
        <v>95715.6364</v>
      </c>
      <c r="O41" s="95">
        <v>466983.8043</v>
      </c>
      <c r="P41" s="45"/>
      <c r="Q41" s="79">
        <v>240448.9864</v>
      </c>
    </row>
    <row r="42" spans="1:17" ht="12.75">
      <c r="A42" s="86"/>
      <c r="B42" s="87"/>
      <c r="C42" s="87"/>
      <c r="D42" s="87"/>
      <c r="E42" s="87"/>
      <c r="F42" s="34"/>
      <c r="G42" s="87"/>
      <c r="H42" s="87"/>
      <c r="I42" s="34"/>
      <c r="J42" s="87"/>
      <c r="K42" s="34"/>
      <c r="L42" s="87"/>
      <c r="M42" s="34"/>
      <c r="N42" s="94"/>
      <c r="O42" s="34"/>
      <c r="P42" s="6"/>
      <c r="Q42" s="87"/>
    </row>
    <row r="43" ht="12.75">
      <c r="A43" s="45"/>
    </row>
    <row r="44" spans="1:15" ht="12.75">
      <c r="A44" s="3" t="s">
        <v>252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ht="12.75">
      <c r="A45" s="3" t="s">
        <v>259</v>
      </c>
    </row>
    <row r="47" ht="12.75">
      <c r="A47" s="3" t="s">
        <v>103</v>
      </c>
    </row>
  </sheetData>
  <mergeCells count="2">
    <mergeCell ref="A4:P4"/>
    <mergeCell ref="A3:Q3"/>
  </mergeCells>
  <hyperlinks>
    <hyperlink ref="Q1" location="Indice!A1" display="Volver"/>
  </hyperlinks>
  <printOptions horizontalCentered="1" verticalCentered="1"/>
  <pageMargins left="0.1968503937007874" right="0.1968503937007874" top="0.23" bottom="0.23" header="0" footer="0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A1" sqref="A1"/>
    </sheetView>
  </sheetViews>
  <sheetFormatPr defaultColWidth="11.00390625" defaultRowHeight="12.75"/>
  <cols>
    <col min="1" max="1" width="37.125" style="3" customWidth="1"/>
    <col min="2" max="5" width="14.125" style="3" bestFit="1" customWidth="1"/>
    <col min="6" max="6" width="17.875" style="3" bestFit="1" customWidth="1"/>
    <col min="7" max="7" width="23.50390625" style="3" bestFit="1" customWidth="1"/>
    <col min="8" max="8" width="22.625" style="3" bestFit="1" customWidth="1"/>
    <col min="9" max="9" width="25.875" style="3" bestFit="1" customWidth="1"/>
    <col min="10" max="10" width="24.00390625" style="3" bestFit="1" customWidth="1"/>
    <col min="11" max="11" width="19.00390625" style="3" bestFit="1" customWidth="1"/>
    <col min="12" max="12" width="21.625" style="3" bestFit="1" customWidth="1"/>
    <col min="13" max="16384" width="12.00390625" style="3" customWidth="1"/>
  </cols>
  <sheetData>
    <row r="1" spans="1:12" ht="12.75">
      <c r="A1" s="107" t="s">
        <v>144</v>
      </c>
      <c r="L1" s="111" t="s">
        <v>151</v>
      </c>
    </row>
    <row r="2" spans="1:12" ht="12.75">
      <c r="A2" s="107" t="s">
        <v>145</v>
      </c>
      <c r="L2" s="111"/>
    </row>
    <row r="3" spans="1:12" ht="18">
      <c r="A3" s="182" t="s">
        <v>250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2.75">
      <c r="A4" s="183" t="s">
        <v>92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2.75">
      <c r="A6" s="69"/>
      <c r="B6" s="179" t="s">
        <v>256</v>
      </c>
      <c r="C6" s="180"/>
      <c r="D6" s="180"/>
      <c r="E6" s="180"/>
      <c r="F6" s="181"/>
      <c r="G6" s="179" t="s">
        <v>86</v>
      </c>
      <c r="H6" s="181"/>
      <c r="I6" s="179" t="s">
        <v>90</v>
      </c>
      <c r="J6" s="181"/>
      <c r="K6" s="179" t="s">
        <v>257</v>
      </c>
      <c r="L6" s="181"/>
    </row>
    <row r="7" spans="1:12" ht="12.75">
      <c r="A7" s="72" t="s">
        <v>20</v>
      </c>
      <c r="B7" s="179" t="s">
        <v>0</v>
      </c>
      <c r="C7" s="180"/>
      <c r="D7" s="180"/>
      <c r="E7" s="180"/>
      <c r="F7" s="181"/>
      <c r="G7" s="96" t="s">
        <v>88</v>
      </c>
      <c r="H7" s="97" t="s">
        <v>89</v>
      </c>
      <c r="I7" s="97" t="s">
        <v>109</v>
      </c>
      <c r="J7" s="97" t="s">
        <v>109</v>
      </c>
      <c r="K7" s="72" t="s">
        <v>110</v>
      </c>
      <c r="L7" s="72" t="s">
        <v>111</v>
      </c>
    </row>
    <row r="8" spans="1:12" ht="12.75">
      <c r="A8" s="74"/>
      <c r="B8" s="75" t="s">
        <v>96</v>
      </c>
      <c r="C8" s="74" t="s">
        <v>97</v>
      </c>
      <c r="D8" s="74" t="s">
        <v>95</v>
      </c>
      <c r="E8" s="74" t="s">
        <v>36</v>
      </c>
      <c r="F8" s="74" t="s">
        <v>106</v>
      </c>
      <c r="G8" s="75" t="s">
        <v>87</v>
      </c>
      <c r="H8" s="74" t="s">
        <v>87</v>
      </c>
      <c r="I8" s="74" t="s">
        <v>113</v>
      </c>
      <c r="J8" s="74" t="s">
        <v>112</v>
      </c>
      <c r="K8" s="74"/>
      <c r="L8" s="74"/>
    </row>
    <row r="9" spans="2:10" ht="12.75">
      <c r="B9" s="77"/>
      <c r="C9" s="77"/>
      <c r="D9" s="77"/>
      <c r="E9" s="77"/>
      <c r="F9" s="77"/>
      <c r="G9" s="77"/>
      <c r="H9" s="77"/>
      <c r="I9" s="77"/>
      <c r="J9" s="77"/>
    </row>
    <row r="10" spans="1:12" ht="12.75">
      <c r="A10" s="78" t="s">
        <v>16</v>
      </c>
      <c r="B10" s="98">
        <v>11.165327626666722</v>
      </c>
      <c r="C10" s="98">
        <v>7.602337784979493</v>
      </c>
      <c r="D10" s="98">
        <v>20.96024681370647</v>
      </c>
      <c r="E10" s="98">
        <v>21.505483454828767</v>
      </c>
      <c r="F10" s="98">
        <v>20.607290216522173</v>
      </c>
      <c r="G10" s="98">
        <v>1.7605599414837545</v>
      </c>
      <c r="H10" s="98">
        <v>1.1142015798435645</v>
      </c>
      <c r="I10" s="98">
        <v>48.68</v>
      </c>
      <c r="J10" s="98">
        <v>2.13</v>
      </c>
      <c r="K10" s="162">
        <v>24.48</v>
      </c>
      <c r="L10" s="163">
        <v>21.43</v>
      </c>
    </row>
    <row r="11" spans="1:12" ht="12.75">
      <c r="A11" s="81" t="s">
        <v>28</v>
      </c>
      <c r="B11" s="99">
        <v>-15.4270041097847</v>
      </c>
      <c r="C11" s="99">
        <v>-15.448143684249</v>
      </c>
      <c r="D11" s="99">
        <v>-12.0748609754223</v>
      </c>
      <c r="E11" s="99">
        <v>-27.8354638848368</v>
      </c>
      <c r="F11" s="99">
        <v>-11.3728433957441</v>
      </c>
      <c r="G11" s="99">
        <v>1.31101467716728</v>
      </c>
      <c r="H11" s="99">
        <v>1.31019816477406</v>
      </c>
      <c r="I11" s="99">
        <v>78.4848648748454</v>
      </c>
      <c r="J11" s="99">
        <v>2.3369079122672</v>
      </c>
      <c r="K11" s="164">
        <v>2.77447456002985</v>
      </c>
      <c r="L11" s="165">
        <v>2.29319737662079</v>
      </c>
    </row>
    <row r="12" spans="1:12" ht="12.75">
      <c r="A12" s="82" t="s">
        <v>25</v>
      </c>
      <c r="B12" s="100">
        <v>12.8400846266296</v>
      </c>
      <c r="C12" s="100">
        <v>14.3831991708131</v>
      </c>
      <c r="D12" s="100">
        <v>9.94809046518885</v>
      </c>
      <c r="E12" s="100">
        <v>3.0584669528035</v>
      </c>
      <c r="F12" s="100">
        <v>12.4150291379503</v>
      </c>
      <c r="G12" s="100">
        <v>1.79035435389495</v>
      </c>
      <c r="H12" s="100">
        <v>1.5206051647456</v>
      </c>
      <c r="I12" s="100">
        <v>56.6459190097516</v>
      </c>
      <c r="J12" s="100">
        <v>2.09376296345977</v>
      </c>
      <c r="K12" s="166">
        <v>15.9935014539064</v>
      </c>
      <c r="L12" s="167">
        <v>13.9846831173443</v>
      </c>
    </row>
    <row r="13" spans="1:12" ht="12.75">
      <c r="A13" s="82" t="s">
        <v>5</v>
      </c>
      <c r="B13" s="100">
        <v>6.88703784057643</v>
      </c>
      <c r="C13" s="100">
        <v>7.17942286393582</v>
      </c>
      <c r="D13" s="100">
        <v>4.66649168229731</v>
      </c>
      <c r="E13" s="100">
        <v>4.05015557850528</v>
      </c>
      <c r="F13" s="100">
        <v>4.87833159432449</v>
      </c>
      <c r="G13" s="100">
        <v>1.19663665935515</v>
      </c>
      <c r="H13" s="100">
        <v>0.43339568929537</v>
      </c>
      <c r="I13" s="100">
        <v>60.7526913652862</v>
      </c>
      <c r="J13" s="100">
        <v>1.56367675618468</v>
      </c>
      <c r="K13" s="166">
        <v>19.1356237511037</v>
      </c>
      <c r="L13" s="167">
        <v>17.1930692973992</v>
      </c>
    </row>
    <row r="14" spans="1:12" ht="12.75">
      <c r="A14" s="82" t="s">
        <v>6</v>
      </c>
      <c r="B14" s="100">
        <v>18.3603557056729</v>
      </c>
      <c r="C14" s="100">
        <v>15.6387062769408</v>
      </c>
      <c r="D14" s="100">
        <v>31.4038767108208</v>
      </c>
      <c r="E14" s="100">
        <v>23.9929415921413</v>
      </c>
      <c r="F14" s="100">
        <v>45.3162728638296</v>
      </c>
      <c r="G14" s="100">
        <v>1.60063065112195</v>
      </c>
      <c r="H14" s="100">
        <v>0.852668944713613</v>
      </c>
      <c r="I14" s="100">
        <v>40.6841299611502</v>
      </c>
      <c r="J14" s="100">
        <v>1.50952251074698</v>
      </c>
      <c r="K14" s="166">
        <v>16.99796712113</v>
      </c>
      <c r="L14" s="167">
        <v>14.2639199419163</v>
      </c>
    </row>
    <row r="15" spans="1:12" ht="12.75">
      <c r="A15" s="82" t="s">
        <v>7</v>
      </c>
      <c r="B15" s="100">
        <v>11.5257472497944</v>
      </c>
      <c r="C15" s="100">
        <v>9.37870922836428</v>
      </c>
      <c r="D15" s="100">
        <v>17.5950289707492</v>
      </c>
      <c r="E15" s="100">
        <v>15.2552152629681</v>
      </c>
      <c r="F15" s="100">
        <v>19.1025996469243</v>
      </c>
      <c r="G15" s="100">
        <v>1.80358287585345</v>
      </c>
      <c r="H15" s="100">
        <v>0.978645354523877</v>
      </c>
      <c r="I15" s="100">
        <v>48.1625354482755</v>
      </c>
      <c r="J15" s="100">
        <v>2.27551069915637</v>
      </c>
      <c r="K15" s="166">
        <v>38.1287448797921</v>
      </c>
      <c r="L15" s="167">
        <v>35.156651676119</v>
      </c>
    </row>
    <row r="16" spans="1:12" ht="12.75">
      <c r="A16" s="82" t="s">
        <v>141</v>
      </c>
      <c r="B16" s="101">
        <v>17.2745343407805</v>
      </c>
      <c r="C16" s="101">
        <v>11.0229985088485</v>
      </c>
      <c r="D16" s="101">
        <v>37.2994778793284</v>
      </c>
      <c r="E16" s="101">
        <v>66.8300581385195</v>
      </c>
      <c r="F16" s="101">
        <v>21.7330123286422</v>
      </c>
      <c r="G16" s="100">
        <v>1.56784545556203</v>
      </c>
      <c r="H16" s="100">
        <v>0.9394842348201</v>
      </c>
      <c r="I16" s="100">
        <v>51.3491106023207</v>
      </c>
      <c r="J16" s="100">
        <v>2.08074420213385</v>
      </c>
      <c r="K16" s="166">
        <v>31.4752313063268</v>
      </c>
      <c r="L16" s="167">
        <v>27.1634609434976</v>
      </c>
    </row>
    <row r="17" spans="1:12" ht="12.75">
      <c r="A17" s="82" t="s">
        <v>8</v>
      </c>
      <c r="B17" s="100">
        <v>16.2829490456249</v>
      </c>
      <c r="C17" s="100">
        <v>18.6822974211925</v>
      </c>
      <c r="D17" s="100">
        <v>6.67045729968603</v>
      </c>
      <c r="E17" s="100">
        <v>15.2465047336459</v>
      </c>
      <c r="F17" s="100">
        <v>5.479936082467</v>
      </c>
      <c r="G17" s="100">
        <v>2.63726467739863</v>
      </c>
      <c r="H17" s="100">
        <v>1.57032831092938</v>
      </c>
      <c r="I17" s="100">
        <v>51.2589998755612</v>
      </c>
      <c r="J17" s="100">
        <v>2.44055545629184</v>
      </c>
      <c r="K17" s="166">
        <v>14.2520712276766</v>
      </c>
      <c r="L17" s="167">
        <v>12.2220922435363</v>
      </c>
    </row>
    <row r="18" spans="1:12" ht="12.75">
      <c r="A18" s="82" t="s">
        <v>31</v>
      </c>
      <c r="B18" s="100">
        <v>17.0911917432337</v>
      </c>
      <c r="C18" s="100">
        <v>17.0911918760027</v>
      </c>
      <c r="D18" s="101" t="s">
        <v>246</v>
      </c>
      <c r="E18" s="101" t="s">
        <v>246</v>
      </c>
      <c r="F18" s="101" t="s">
        <v>246</v>
      </c>
      <c r="G18" s="100">
        <v>0.622585284482598</v>
      </c>
      <c r="H18" s="100">
        <v>0</v>
      </c>
      <c r="I18" s="100">
        <v>67.3891813881357</v>
      </c>
      <c r="J18" s="100">
        <v>0.966813746947036</v>
      </c>
      <c r="K18" s="166">
        <v>2.68108003479377</v>
      </c>
      <c r="L18" s="167">
        <v>2.31218628854132</v>
      </c>
    </row>
    <row r="19" spans="1:12" ht="12.75">
      <c r="A19" s="82" t="s">
        <v>11</v>
      </c>
      <c r="B19" s="100">
        <v>27.3156672813192</v>
      </c>
      <c r="C19" s="100">
        <v>176.943758539073</v>
      </c>
      <c r="D19" s="100">
        <v>22.9692067805192</v>
      </c>
      <c r="E19" s="100">
        <v>20.5557996748796</v>
      </c>
      <c r="F19" s="100">
        <v>34.1524586859912</v>
      </c>
      <c r="G19" s="100">
        <v>3.13843939927554</v>
      </c>
      <c r="H19" s="100">
        <v>0.254377413419629</v>
      </c>
      <c r="I19" s="100">
        <v>42.1534157455236</v>
      </c>
      <c r="J19" s="100">
        <v>5.06682176199496</v>
      </c>
      <c r="K19" s="166">
        <v>36.6484529484323</v>
      </c>
      <c r="L19" s="167">
        <v>30.3232282353737</v>
      </c>
    </row>
    <row r="20" spans="1:12" ht="12.75">
      <c r="A20" s="82" t="s">
        <v>24</v>
      </c>
      <c r="B20" s="100">
        <v>37.6001280913934</v>
      </c>
      <c r="C20" s="100">
        <v>37.6001282515545</v>
      </c>
      <c r="D20" s="101" t="s">
        <v>246</v>
      </c>
      <c r="E20" s="101" t="s">
        <v>246</v>
      </c>
      <c r="F20" s="101" t="s">
        <v>246</v>
      </c>
      <c r="G20" s="100">
        <v>2.3655751395647</v>
      </c>
      <c r="H20" s="100">
        <v>1.02582609799709</v>
      </c>
      <c r="I20" s="100">
        <v>84.3209807104322</v>
      </c>
      <c r="J20" s="100">
        <v>5.64399907832175</v>
      </c>
      <c r="K20" s="166">
        <v>3.22487380744252</v>
      </c>
      <c r="L20" s="167">
        <v>4.44310758145666</v>
      </c>
    </row>
    <row r="21" spans="1:12" ht="12.75">
      <c r="A21" s="82" t="s">
        <v>29</v>
      </c>
      <c r="B21" s="100">
        <v>-3.46434484883511</v>
      </c>
      <c r="C21" s="100">
        <v>-3.46549604340642</v>
      </c>
      <c r="D21" s="100">
        <v>-1.02569409343722</v>
      </c>
      <c r="E21" s="100">
        <v>-1.02569409343722</v>
      </c>
      <c r="F21" s="101" t="s">
        <v>246</v>
      </c>
      <c r="G21" s="100">
        <v>0.707099635812669</v>
      </c>
      <c r="H21" s="100">
        <v>0.0124486473489309</v>
      </c>
      <c r="I21" s="100">
        <v>183.830057973206</v>
      </c>
      <c r="J21" s="100">
        <v>1.30300179160824</v>
      </c>
      <c r="K21" s="166">
        <v>-2.29931819749988</v>
      </c>
      <c r="L21" s="167">
        <v>-1.86959016864614</v>
      </c>
    </row>
    <row r="22" spans="1:12" ht="12.75">
      <c r="A22" s="82" t="s">
        <v>9</v>
      </c>
      <c r="B22" s="100">
        <v>-3.52886983937747</v>
      </c>
      <c r="C22" s="100">
        <v>-3.3791197950267</v>
      </c>
      <c r="D22" s="100">
        <v>-18.3240971312372</v>
      </c>
      <c r="E22" s="100">
        <v>-21.1404041316528</v>
      </c>
      <c r="F22" s="100">
        <v>-17.2849801707476</v>
      </c>
      <c r="G22" s="100">
        <v>2.08602291474603</v>
      </c>
      <c r="H22" s="100">
        <v>1.85692581967084</v>
      </c>
      <c r="I22" s="100">
        <v>71.1718557602337</v>
      </c>
      <c r="J22" s="100">
        <v>3.77978862831112</v>
      </c>
      <c r="K22" s="166">
        <v>13.9390040835335</v>
      </c>
      <c r="L22" s="167">
        <v>13.0991131789349</v>
      </c>
    </row>
    <row r="23" spans="1:12" ht="12.75">
      <c r="A23" s="82" t="s">
        <v>26</v>
      </c>
      <c r="B23" s="100">
        <v>48.9471597290568</v>
      </c>
      <c r="C23" s="100">
        <v>48.9471603124301</v>
      </c>
      <c r="D23" s="101" t="s">
        <v>246</v>
      </c>
      <c r="E23" s="101" t="s">
        <v>246</v>
      </c>
      <c r="F23" s="101" t="s">
        <v>246</v>
      </c>
      <c r="G23" s="100">
        <v>1.5736572131717</v>
      </c>
      <c r="H23" s="100">
        <v>0</v>
      </c>
      <c r="I23" s="100">
        <v>140.588682858706</v>
      </c>
      <c r="J23" s="100">
        <v>3.44611756923627</v>
      </c>
      <c r="K23" s="166">
        <v>0.711142742821484</v>
      </c>
      <c r="L23" s="167">
        <v>0.407947009959234</v>
      </c>
    </row>
    <row r="24" spans="1:12" ht="12.75">
      <c r="A24" s="82" t="s">
        <v>107</v>
      </c>
      <c r="B24" s="101" t="s">
        <v>246</v>
      </c>
      <c r="C24" s="101" t="s">
        <v>246</v>
      </c>
      <c r="D24" s="101" t="s">
        <v>246</v>
      </c>
      <c r="E24" s="101" t="s">
        <v>246</v>
      </c>
      <c r="F24" s="101" t="s">
        <v>246</v>
      </c>
      <c r="G24" s="100">
        <v>3.7222645238608</v>
      </c>
      <c r="H24" s="100">
        <v>0.261305540295419</v>
      </c>
      <c r="I24" s="100">
        <v>51.7979569924461</v>
      </c>
      <c r="J24" s="100">
        <v>9.2176313670385</v>
      </c>
      <c r="K24" s="166">
        <v>37.5586308338277</v>
      </c>
      <c r="L24" s="167">
        <v>31.173665132497</v>
      </c>
    </row>
    <row r="25" spans="1:12" ht="12.75">
      <c r="A25" s="82" t="s">
        <v>30</v>
      </c>
      <c r="B25" s="101" t="s">
        <v>246</v>
      </c>
      <c r="C25" s="101" t="s">
        <v>246</v>
      </c>
      <c r="D25" s="101" t="s">
        <v>246</v>
      </c>
      <c r="E25" s="101" t="s">
        <v>246</v>
      </c>
      <c r="F25" s="101" t="s">
        <v>246</v>
      </c>
      <c r="G25" s="101" t="s">
        <v>246</v>
      </c>
      <c r="H25" s="101" t="s">
        <v>246</v>
      </c>
      <c r="I25" s="100">
        <v>330.036968248826</v>
      </c>
      <c r="J25" s="100">
        <v>9.08235185369715</v>
      </c>
      <c r="K25" s="166">
        <v>-25.9365309087226</v>
      </c>
      <c r="L25" s="167">
        <v>-21.3541074210535</v>
      </c>
    </row>
    <row r="26" spans="1:12" ht="12.75">
      <c r="A26" s="82" t="s">
        <v>22</v>
      </c>
      <c r="B26" s="100">
        <v>63.9686019773074</v>
      </c>
      <c r="C26" s="100">
        <v>6.40781952215985</v>
      </c>
      <c r="D26" s="100">
        <v>70.9609665277451</v>
      </c>
      <c r="E26" s="100">
        <v>70.904190675556</v>
      </c>
      <c r="F26" s="100">
        <v>71.3763956780071</v>
      </c>
      <c r="G26" s="100">
        <v>2.714132126921</v>
      </c>
      <c r="H26" s="100">
        <v>0.118292482515969</v>
      </c>
      <c r="I26" s="100">
        <v>71.0158798089593</v>
      </c>
      <c r="J26" s="100">
        <v>8.11020817005323</v>
      </c>
      <c r="K26" s="166">
        <v>10.7579266557243</v>
      </c>
      <c r="L26" s="167">
        <v>10.7579266557243</v>
      </c>
    </row>
    <row r="27" spans="1:12" ht="12.75">
      <c r="A27" s="82" t="s">
        <v>10</v>
      </c>
      <c r="B27" s="100">
        <v>7.5608267396172</v>
      </c>
      <c r="C27" s="100">
        <v>1.25507528179065</v>
      </c>
      <c r="D27" s="100">
        <v>21.5513877638468</v>
      </c>
      <c r="E27" s="100">
        <v>17.5885235145347</v>
      </c>
      <c r="F27" s="100">
        <v>24.1068453545185</v>
      </c>
      <c r="G27" s="100">
        <v>1.73732945066496</v>
      </c>
      <c r="H27" s="100">
        <v>1.24435435743256</v>
      </c>
      <c r="I27" s="100">
        <v>40.9705813478787</v>
      </c>
      <c r="J27" s="100">
        <v>2.03811367448091</v>
      </c>
      <c r="K27" s="166">
        <v>32.8771769454644</v>
      </c>
      <c r="L27" s="167">
        <v>28.0409817117412</v>
      </c>
    </row>
    <row r="28" spans="1:12" ht="12.75">
      <c r="A28" s="82" t="s">
        <v>32</v>
      </c>
      <c r="B28" s="100">
        <v>25.1394734327064</v>
      </c>
      <c r="C28" s="100">
        <v>25.8548197017899</v>
      </c>
      <c r="D28" s="100">
        <v>17.4918570770153</v>
      </c>
      <c r="E28" s="100">
        <v>28.1669533194152</v>
      </c>
      <c r="F28" s="100">
        <v>14.8596871166195</v>
      </c>
      <c r="G28" s="100">
        <v>1.46450466729696</v>
      </c>
      <c r="H28" s="100">
        <v>0.703149359871514</v>
      </c>
      <c r="I28" s="100">
        <v>48.2183182837481</v>
      </c>
      <c r="J28" s="100">
        <v>1.49308419412286</v>
      </c>
      <c r="K28" s="166">
        <v>18.2310454222115</v>
      </c>
      <c r="L28" s="167">
        <v>16.1752381164925</v>
      </c>
    </row>
    <row r="29" spans="1:12" ht="12.75">
      <c r="A29" s="83" t="s">
        <v>21</v>
      </c>
      <c r="B29" s="102">
        <v>1.27067511969148</v>
      </c>
      <c r="C29" s="102">
        <v>-10.8330163010253</v>
      </c>
      <c r="D29" s="102">
        <v>27.9194560048132</v>
      </c>
      <c r="E29" s="102">
        <v>27.7847583281597</v>
      </c>
      <c r="F29" s="102">
        <v>27.9694901995064</v>
      </c>
      <c r="G29" s="102">
        <v>1.88281074485302</v>
      </c>
      <c r="H29" s="102">
        <v>2.08793377594022</v>
      </c>
      <c r="I29" s="102">
        <v>68.3229475572916</v>
      </c>
      <c r="J29" s="102">
        <v>2.27454172747956</v>
      </c>
      <c r="K29" s="168">
        <v>9.41983660611696</v>
      </c>
      <c r="L29" s="169">
        <v>8.60516907784868</v>
      </c>
    </row>
    <row r="30" spans="3:12" ht="12.75">
      <c r="C30" s="103"/>
      <c r="D30" s="103"/>
      <c r="E30" s="103"/>
      <c r="F30" s="103"/>
      <c r="G30" s="103"/>
      <c r="H30" s="103"/>
      <c r="I30" s="103"/>
      <c r="J30" s="103"/>
      <c r="K30" s="170"/>
      <c r="L30" s="171"/>
    </row>
    <row r="31" spans="1:12" ht="12.75">
      <c r="A31" s="79" t="s">
        <v>258</v>
      </c>
      <c r="B31" s="98">
        <v>11.5392170649067</v>
      </c>
      <c r="C31" s="98">
        <v>11.1931840091252</v>
      </c>
      <c r="D31" s="98">
        <v>11.8784921237064</v>
      </c>
      <c r="E31" s="98">
        <v>16.6131122050937</v>
      </c>
      <c r="F31" s="98">
        <v>10.7094887071333</v>
      </c>
      <c r="G31" s="98">
        <v>1.68871315474848</v>
      </c>
      <c r="H31" s="98">
        <v>0.811167669650467</v>
      </c>
      <c r="I31" s="98">
        <v>58.8600656966583</v>
      </c>
      <c r="J31" s="98">
        <v>2.19912872478264</v>
      </c>
      <c r="K31" s="163">
        <v>23.7573129989903</v>
      </c>
      <c r="L31" s="163">
        <v>10.7657447202943</v>
      </c>
    </row>
    <row r="32" spans="3:12" ht="12.75">
      <c r="C32" s="103"/>
      <c r="D32" s="103"/>
      <c r="E32" s="103"/>
      <c r="F32" s="103"/>
      <c r="G32" s="103"/>
      <c r="H32" s="103"/>
      <c r="I32" s="103"/>
      <c r="J32" s="103"/>
      <c r="K32" s="170"/>
      <c r="L32" s="171"/>
    </row>
    <row r="33" spans="1:12" ht="12.75">
      <c r="A33" s="79" t="s">
        <v>23</v>
      </c>
      <c r="B33" s="98">
        <v>9.36021350531413</v>
      </c>
      <c r="C33" s="98">
        <v>12.4809059608999</v>
      </c>
      <c r="D33" s="98">
        <v>4.30008154869377</v>
      </c>
      <c r="E33" s="98">
        <v>12.2463662870178</v>
      </c>
      <c r="F33" s="98">
        <v>-7.12744608250536</v>
      </c>
      <c r="G33" s="98">
        <v>2.14717073234218</v>
      </c>
      <c r="H33" s="98">
        <v>0.918169650709168</v>
      </c>
      <c r="I33" s="98">
        <v>67.342704290357</v>
      </c>
      <c r="J33" s="98">
        <v>3.99763533590158</v>
      </c>
      <c r="K33" s="163">
        <v>11.4112832356873</v>
      </c>
      <c r="L33" s="163">
        <v>9.44218746908031</v>
      </c>
    </row>
    <row r="34" spans="1:12" ht="12.75">
      <c r="A34" s="82" t="s">
        <v>34</v>
      </c>
      <c r="B34" s="100">
        <v>18.3036843082723</v>
      </c>
      <c r="C34" s="100">
        <v>23.2441618795606</v>
      </c>
      <c r="D34" s="100">
        <v>11.34425672351</v>
      </c>
      <c r="E34" s="100">
        <v>18.5037676997493</v>
      </c>
      <c r="F34" s="100">
        <v>6.07336260863487</v>
      </c>
      <c r="G34" s="100">
        <v>2.00661706407697</v>
      </c>
      <c r="H34" s="100">
        <v>1.07891766224286</v>
      </c>
      <c r="I34" s="100">
        <v>69.2252967199034</v>
      </c>
      <c r="J34" s="100">
        <v>3.03318875999637</v>
      </c>
      <c r="K34" s="164">
        <v>8.87756783037252</v>
      </c>
      <c r="L34" s="167">
        <v>7.85122441411724</v>
      </c>
    </row>
    <row r="35" spans="1:12" ht="12.75">
      <c r="A35" s="82" t="s">
        <v>12</v>
      </c>
      <c r="B35" s="100">
        <v>3.19908725594205</v>
      </c>
      <c r="C35" s="100">
        <v>7.26550631868406</v>
      </c>
      <c r="D35" s="100">
        <v>-3.13285953982178</v>
      </c>
      <c r="E35" s="100">
        <v>8.59482047189848</v>
      </c>
      <c r="F35" s="100">
        <v>-41.2863770070626</v>
      </c>
      <c r="G35" s="100">
        <v>2.45511594373136</v>
      </c>
      <c r="H35" s="100">
        <v>0.818983604293655</v>
      </c>
      <c r="I35" s="100">
        <v>85.2728168927817</v>
      </c>
      <c r="J35" s="100">
        <v>5.46993000505037</v>
      </c>
      <c r="K35" s="166">
        <v>6.43762638934271</v>
      </c>
      <c r="L35" s="167">
        <v>4.98355748290887</v>
      </c>
    </row>
    <row r="36" spans="1:12" ht="12.75">
      <c r="A36" s="82" t="s">
        <v>14</v>
      </c>
      <c r="B36" s="100">
        <v>-17.0597920207036</v>
      </c>
      <c r="C36" s="100">
        <v>-17.0203493748561</v>
      </c>
      <c r="D36" s="100">
        <v>-27.4674594867034</v>
      </c>
      <c r="E36" s="100">
        <v>-27.4674594867034</v>
      </c>
      <c r="F36" s="101" t="s">
        <v>246</v>
      </c>
      <c r="G36" s="100">
        <v>0.536143750857211</v>
      </c>
      <c r="H36" s="100">
        <v>0.126254699899509</v>
      </c>
      <c r="I36" s="100">
        <v>167.280255583187</v>
      </c>
      <c r="J36" s="100">
        <v>4.12636485679135</v>
      </c>
      <c r="K36" s="166">
        <v>-2.7591056268918</v>
      </c>
      <c r="L36" s="167">
        <v>-2.7591056268918</v>
      </c>
    </row>
    <row r="37" spans="1:12" ht="12.75">
      <c r="A37" s="82" t="s">
        <v>13</v>
      </c>
      <c r="B37" s="100">
        <v>5.4041242382499</v>
      </c>
      <c r="C37" s="100">
        <v>5.42919479947943</v>
      </c>
      <c r="D37" s="100">
        <v>-26.4901531034227</v>
      </c>
      <c r="E37" s="100">
        <v>-26.4901531034227</v>
      </c>
      <c r="F37" s="101" t="s">
        <v>246</v>
      </c>
      <c r="G37" s="100">
        <v>0.790748029290772</v>
      </c>
      <c r="H37" s="100">
        <v>0</v>
      </c>
      <c r="I37" s="100">
        <v>139.48554181013</v>
      </c>
      <c r="J37" s="100">
        <v>5.04360392858292</v>
      </c>
      <c r="K37" s="166">
        <v>-2.33902003941583</v>
      </c>
      <c r="L37" s="167">
        <v>-2.32011253850806</v>
      </c>
    </row>
    <row r="38" spans="1:12" ht="12.75">
      <c r="A38" s="82" t="s">
        <v>35</v>
      </c>
      <c r="B38" s="100">
        <v>27.4415516942004</v>
      </c>
      <c r="C38" s="100">
        <v>27.4415518109791</v>
      </c>
      <c r="D38" s="101" t="s">
        <v>246</v>
      </c>
      <c r="E38" s="101" t="s">
        <v>246</v>
      </c>
      <c r="F38" s="101" t="s">
        <v>246</v>
      </c>
      <c r="G38" s="100">
        <v>0.358967547197907</v>
      </c>
      <c r="H38" s="100">
        <v>0</v>
      </c>
      <c r="I38" s="100">
        <v>83.5246578159494</v>
      </c>
      <c r="J38" s="100">
        <v>2.10365569933188</v>
      </c>
      <c r="K38" s="166">
        <v>1.90601734699154</v>
      </c>
      <c r="L38" s="167">
        <v>1.90601734699154</v>
      </c>
    </row>
    <row r="39" spans="1:12" ht="12.75">
      <c r="A39" s="83" t="s">
        <v>33</v>
      </c>
      <c r="B39" s="102">
        <v>-99.999748439562</v>
      </c>
      <c r="C39" s="102">
        <v>-99.999748439562</v>
      </c>
      <c r="D39" s="104" t="s">
        <v>246</v>
      </c>
      <c r="E39" s="104" t="s">
        <v>246</v>
      </c>
      <c r="F39" s="104" t="s">
        <v>246</v>
      </c>
      <c r="G39" s="102">
        <v>0</v>
      </c>
      <c r="H39" s="102">
        <v>0</v>
      </c>
      <c r="I39" s="102">
        <v>13.7983187170953</v>
      </c>
      <c r="J39" s="102">
        <v>1.34385776391165</v>
      </c>
      <c r="K39" s="168">
        <v>28.7338025912938</v>
      </c>
      <c r="L39" s="169">
        <v>23.8922377992411</v>
      </c>
    </row>
    <row r="40" spans="3:12" ht="12.75">
      <c r="C40" s="103"/>
      <c r="D40" s="103"/>
      <c r="E40" s="103"/>
      <c r="F40" s="103"/>
      <c r="G40" s="103"/>
      <c r="H40" s="103"/>
      <c r="I40" s="103"/>
      <c r="J40" s="103"/>
      <c r="K40" s="170"/>
      <c r="L40" s="171"/>
    </row>
    <row r="41" spans="1:12" ht="12.75">
      <c r="A41" s="78" t="s">
        <v>15</v>
      </c>
      <c r="B41" s="98">
        <f>'Información Sistema'!F12</f>
        <v>11.1296544985936</v>
      </c>
      <c r="C41" s="98">
        <f>'Información Sistema'!F13</f>
        <v>8.13816024293681</v>
      </c>
      <c r="D41" s="98">
        <f>'Información Sistema'!F17</f>
        <v>18.0044278385803</v>
      </c>
      <c r="E41" s="98">
        <f>'Información Sistema'!F18</f>
        <v>20.0358293169685</v>
      </c>
      <c r="F41" s="98">
        <f>'Información Sistema'!F19</f>
        <v>16.8509789024723</v>
      </c>
      <c r="G41" s="98">
        <v>1.768952268855411</v>
      </c>
      <c r="H41" s="98">
        <v>1.065459204913548</v>
      </c>
      <c r="I41" s="98">
        <v>51.65</v>
      </c>
      <c r="J41" s="98">
        <v>2.26</v>
      </c>
      <c r="K41" s="163">
        <v>22.6511626247256</v>
      </c>
      <c r="L41" s="163">
        <v>18.8</v>
      </c>
    </row>
    <row r="42" spans="1:12" ht="12.75">
      <c r="A42" s="86"/>
      <c r="B42" s="87"/>
      <c r="C42" s="105"/>
      <c r="D42" s="105"/>
      <c r="E42" s="105"/>
      <c r="F42" s="105"/>
      <c r="G42" s="105"/>
      <c r="H42" s="105"/>
      <c r="I42" s="105"/>
      <c r="J42" s="105"/>
      <c r="K42" s="170"/>
      <c r="L42" s="172"/>
    </row>
    <row r="43" spans="1:12" ht="12.75">
      <c r="A43" s="3" t="s">
        <v>60</v>
      </c>
      <c r="B43" s="45"/>
      <c r="C43" s="45"/>
      <c r="D43" s="45"/>
      <c r="E43" s="45"/>
      <c r="F43" s="45"/>
      <c r="G43" s="45"/>
      <c r="H43" s="45"/>
      <c r="I43" s="45"/>
      <c r="J43" s="45"/>
      <c r="K43" s="106"/>
      <c r="L43" s="106"/>
    </row>
    <row r="44" ht="12.75">
      <c r="A44" s="3" t="s">
        <v>259</v>
      </c>
    </row>
    <row r="45" ht="12.75">
      <c r="A45" s="3" t="s">
        <v>253</v>
      </c>
    </row>
    <row r="46" ht="12.75">
      <c r="A46" s="3" t="s">
        <v>254</v>
      </c>
    </row>
    <row r="47" ht="12.75">
      <c r="A47" s="3" t="s">
        <v>255</v>
      </c>
    </row>
    <row r="49" ht="12.75">
      <c r="A49" s="3" t="s">
        <v>103</v>
      </c>
    </row>
  </sheetData>
  <mergeCells count="7">
    <mergeCell ref="B7:F7"/>
    <mergeCell ref="A3:L3"/>
    <mergeCell ref="A4:L4"/>
    <mergeCell ref="K6:L6"/>
    <mergeCell ref="B6:F6"/>
    <mergeCell ref="G6:H6"/>
    <mergeCell ref="I6:J6"/>
  </mergeCells>
  <hyperlinks>
    <hyperlink ref="L1" location="Indice!A1" display="Volver"/>
  </hyperlinks>
  <printOptions horizontalCentered="1" verticalCentered="1"/>
  <pageMargins left="0.15748031496062992" right="0.15748031496062992" top="0.2755905511811024" bottom="0.1968503937007874" header="0.2755905511811024" footer="0"/>
  <pageSetup fitToHeight="1" fitToWidth="1" horizontalDpi="600" verticalDpi="600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1" sqref="A1"/>
    </sheetView>
  </sheetViews>
  <sheetFormatPr defaultColWidth="11.00390625" defaultRowHeight="12.75"/>
  <cols>
    <col min="1" max="1" width="69.375" style="3" bestFit="1" customWidth="1"/>
    <col min="2" max="2" width="28.875" style="3" bestFit="1" customWidth="1"/>
    <col min="3" max="16384" width="12.00390625" style="3" customWidth="1"/>
  </cols>
  <sheetData>
    <row r="1" spans="1:7" ht="12.75">
      <c r="A1" s="107" t="s">
        <v>144</v>
      </c>
      <c r="G1" s="111" t="s">
        <v>151</v>
      </c>
    </row>
    <row r="2" ht="12.75">
      <c r="A2" s="107" t="s">
        <v>145</v>
      </c>
    </row>
    <row r="3" ht="12.75">
      <c r="A3" s="107"/>
    </row>
    <row r="4" ht="12.75">
      <c r="A4" s="107"/>
    </row>
    <row r="5" ht="12.75">
      <c r="A5" s="107"/>
    </row>
    <row r="6" ht="12.75">
      <c r="A6" s="107"/>
    </row>
    <row r="7" ht="12.75">
      <c r="A7" s="107"/>
    </row>
    <row r="8" ht="15.75">
      <c r="A8" s="108" t="s">
        <v>114</v>
      </c>
    </row>
    <row r="10" spans="1:2" ht="12.75">
      <c r="A10" s="113" t="s">
        <v>155</v>
      </c>
      <c r="B10" s="113" t="s">
        <v>156</v>
      </c>
    </row>
    <row r="11" spans="1:2" ht="15.75">
      <c r="A11" s="112"/>
      <c r="B11" s="112"/>
    </row>
    <row r="12" spans="1:2" ht="12.75">
      <c r="A12" s="184" t="s">
        <v>87</v>
      </c>
      <c r="B12" s="185"/>
    </row>
    <row r="13" spans="1:2" ht="12.75">
      <c r="A13" s="114"/>
      <c r="B13" s="115"/>
    </row>
    <row r="14" spans="1:2" ht="12.75">
      <c r="A14" s="116" t="s">
        <v>87</v>
      </c>
      <c r="B14" s="117" t="s">
        <v>243</v>
      </c>
    </row>
    <row r="16" spans="1:2" ht="12.75">
      <c r="A16" s="184" t="s">
        <v>236</v>
      </c>
      <c r="B16" s="185"/>
    </row>
    <row r="17" spans="1:2" ht="12.75">
      <c r="A17" s="118"/>
      <c r="B17" s="119"/>
    </row>
    <row r="18" spans="1:2" ht="12.75">
      <c r="A18" s="120" t="s">
        <v>157</v>
      </c>
      <c r="B18" s="121">
        <v>1110</v>
      </c>
    </row>
    <row r="19" spans="1:2" ht="12.75">
      <c r="A19" s="120" t="str">
        <f>"+ Ptmos. comerciales (a más de 1 año)"</f>
        <v>+ Ptmos. comerciales (a más de 1 año)</v>
      </c>
      <c r="B19" s="122">
        <v>1205</v>
      </c>
    </row>
    <row r="20" spans="1:2" ht="12.75">
      <c r="A20" s="120" t="str">
        <f>"+ Ptmos. hipot. endosables para fines generales"</f>
        <v>+ Ptmos. hipot. endosables para fines generales</v>
      </c>
      <c r="B20" s="122">
        <v>1248</v>
      </c>
    </row>
    <row r="21" spans="1:2" ht="12.75">
      <c r="A21" s="120" t="str">
        <f>"+ Ptmos. fines generales en letras de crédito"</f>
        <v>+ Ptmos. fines generales en letras de crédito</v>
      </c>
      <c r="B21" s="122">
        <v>1305</v>
      </c>
    </row>
    <row r="22" spans="1:2" ht="12.75">
      <c r="A22" s="120" t="str">
        <f>"+ Deudores por boletas de garantía y consig. judic. (hasta 1 año)"</f>
        <v>+ Deudores por boletas de garantía y consig. judic. (hasta 1 año)</v>
      </c>
      <c r="B22" s="122">
        <v>1605</v>
      </c>
    </row>
    <row r="23" spans="1:2" ht="12.75">
      <c r="A23" s="120" t="str">
        <f>"+ Deudores por avales y fianzas (hasta 1 año)"</f>
        <v>+ Deudores por avales y fianzas (hasta 1 año)</v>
      </c>
      <c r="B23" s="122">
        <v>1610</v>
      </c>
    </row>
    <row r="24" spans="1:2" ht="12.75">
      <c r="A24" s="120" t="str">
        <f>"+ Deudores por boletas de garantía y consig. judic. (a más de 1 año)"</f>
        <v>+ Deudores por boletas de garantía y consig. judic. (a más de 1 año)</v>
      </c>
      <c r="B24" s="122">
        <v>1655</v>
      </c>
    </row>
    <row r="25" spans="1:2" ht="12.75">
      <c r="A25" s="120" t="str">
        <f>"+ Deudores por avales y fianzas (a más de 1 año)"</f>
        <v>+ Deudores por avales y fianzas (a más de 1 año)</v>
      </c>
      <c r="B25" s="122">
        <v>1660</v>
      </c>
    </row>
    <row r="26" spans="1:2" ht="12.75">
      <c r="A26" s="120" t="str">
        <f>"+ Créditos comerciales vencidos"</f>
        <v>+ Créditos comerciales vencidos</v>
      </c>
      <c r="B26" s="122">
        <v>1401</v>
      </c>
    </row>
    <row r="27" spans="1:2" ht="12.75">
      <c r="A27" s="120" t="str">
        <f>"+ Operaciones de factoraje"</f>
        <v>+ Operaciones de factoraje</v>
      </c>
      <c r="B27" s="122">
        <v>1135</v>
      </c>
    </row>
    <row r="28" spans="1:2" ht="12.75">
      <c r="A28" s="120" t="str">
        <f>"+ Operaciones de factoraje (vencidas)"</f>
        <v>+ Operaciones de factoraje (vencidas)</v>
      </c>
      <c r="B28" s="122">
        <v>1418</v>
      </c>
    </row>
    <row r="29" spans="1:2" ht="12.75">
      <c r="A29" s="120" t="str">
        <f>"+ Contratos de leasing comercial"</f>
        <v>+ Contratos de leasing comercial</v>
      </c>
      <c r="B29" s="122" t="s">
        <v>158</v>
      </c>
    </row>
    <row r="30" spans="1:2" ht="12.75">
      <c r="A30" s="123" t="str">
        <f>"+ Intereses diferidos leasing comercial"</f>
        <v>+ Intereses diferidos leasing comercial</v>
      </c>
      <c r="B30" s="124" t="s">
        <v>159</v>
      </c>
    </row>
    <row r="31" spans="1:2" ht="12.75">
      <c r="A31" s="123" t="str">
        <f>"+ IVA diferido leasing comercial"</f>
        <v>+ IVA diferido leasing comercial</v>
      </c>
      <c r="B31" s="124" t="s">
        <v>160</v>
      </c>
    </row>
    <row r="32" spans="1:2" ht="12.75">
      <c r="A32" s="120" t="str">
        <f>"+ Contratos de leasing comercial vencidos"</f>
        <v>+ Contratos de leasing comercial vencidos</v>
      </c>
      <c r="B32" s="122" t="s">
        <v>161</v>
      </c>
    </row>
    <row r="33" spans="1:2" ht="12.75">
      <c r="A33" s="120" t="str">
        <f>"+ Otros saldos de la partida 1350"</f>
        <v>+ Otros saldos de la partida 1350</v>
      </c>
      <c r="B33" s="125" t="s">
        <v>162</v>
      </c>
    </row>
    <row r="34" spans="1:2" ht="12.75">
      <c r="A34" s="120" t="str">
        <f>"+ Varios deudores"</f>
        <v>+ Varios deudores</v>
      </c>
      <c r="B34" s="122">
        <v>1140</v>
      </c>
    </row>
    <row r="35" spans="1:2" ht="12.75">
      <c r="A35" s="120" t="str">
        <f>"+ Ptmos. productivos reprogramados"</f>
        <v>+ Ptmos. productivos reprogramados</v>
      </c>
      <c r="B35" s="122">
        <v>1235</v>
      </c>
    </row>
    <row r="36" spans="1:2" ht="12.75">
      <c r="A36" s="120" t="s">
        <v>163</v>
      </c>
      <c r="B36" s="122">
        <v>1245</v>
      </c>
    </row>
    <row r="37" spans="1:2" ht="12.75">
      <c r="A37" s="120" t="str">
        <f>"+ Dividendos por cobrar"</f>
        <v>+ Dividendos por cobrar</v>
      </c>
      <c r="B37" s="122">
        <v>1315</v>
      </c>
    </row>
    <row r="38" spans="1:2" ht="12.75">
      <c r="A38" s="120" t="str">
        <f>"+ Créditos importación (hasta 1 año)"</f>
        <v>+ Créditos importación (hasta 1 año)</v>
      </c>
      <c r="B38" s="122">
        <v>1125</v>
      </c>
    </row>
    <row r="39" spans="1:2" ht="12.75">
      <c r="A39" s="120" t="str">
        <f>"+ Créditos exportación (hasta 1 año)"</f>
        <v>+ Créditos exportación (hasta 1 año)</v>
      </c>
      <c r="B39" s="122">
        <v>1130</v>
      </c>
    </row>
    <row r="40" spans="1:2" ht="12.75">
      <c r="A40" s="120" t="str">
        <f>"+ Créditos importación (a más de 1 año)"</f>
        <v>+ Créditos importación (a más de 1 año)</v>
      </c>
      <c r="B40" s="122">
        <v>1220</v>
      </c>
    </row>
    <row r="41" spans="1:2" ht="12.75">
      <c r="A41" s="120" t="str">
        <f>"+ Créditos exportación (a más de 1 año)"</f>
        <v>+ Créditos exportación (a más de 1 año)</v>
      </c>
      <c r="B41" s="122">
        <v>1225</v>
      </c>
    </row>
    <row r="42" spans="1:2" ht="12.75">
      <c r="A42" s="120" t="str">
        <f>"+ Deudores por carta de crédito simples o documentarias"</f>
        <v>+ Deudores por carta de crédito simples o documentarias</v>
      </c>
      <c r="B42" s="122">
        <v>1615</v>
      </c>
    </row>
    <row r="43" spans="1:2" ht="12.75">
      <c r="A43" s="120" t="str">
        <f>"+ Deudores por carta crédito del exterior confirmadas"</f>
        <v>+ Deudores por carta crédito del exterior confirmadas</v>
      </c>
      <c r="B43" s="122">
        <v>1620</v>
      </c>
    </row>
    <row r="44" spans="1:2" ht="12.75">
      <c r="A44" s="120" t="str">
        <f>"+ Ptmos. a instituciones financieras (hasta 1 año)"</f>
        <v>+ Ptmos. a instituciones financieras (hasta 1 año)</v>
      </c>
      <c r="B44" s="122">
        <v>1120</v>
      </c>
    </row>
    <row r="45" spans="1:2" ht="12.75">
      <c r="A45" s="116" t="str">
        <f>"+ Ptmos. a instituciones financieras (a más de 1 año)"</f>
        <v>+ Ptmos. a instituciones financieras (a más de 1 año)</v>
      </c>
      <c r="B45" s="126">
        <v>1215</v>
      </c>
    </row>
    <row r="47" spans="1:2" ht="12.75">
      <c r="A47" s="184" t="s">
        <v>164</v>
      </c>
      <c r="B47" s="185"/>
    </row>
    <row r="48" spans="1:2" ht="12.75">
      <c r="A48" s="119"/>
      <c r="B48" s="119"/>
    </row>
    <row r="49" spans="1:2" ht="12.75">
      <c r="A49" s="123" t="s">
        <v>157</v>
      </c>
      <c r="B49" s="121">
        <v>1110</v>
      </c>
    </row>
    <row r="50" spans="1:2" ht="12.75">
      <c r="A50" s="120" t="str">
        <f>"+ Ptmos. comerciales (a más de 1 año)"</f>
        <v>+ Ptmos. comerciales (a más de 1 año)</v>
      </c>
      <c r="B50" s="122">
        <v>1205</v>
      </c>
    </row>
    <row r="51" spans="1:2" ht="12.75">
      <c r="A51" s="120" t="str">
        <f>"+ Ptmos. hipot. endosables para fines generales"</f>
        <v>+ Ptmos. hipot. endosables para fines generales</v>
      </c>
      <c r="B51" s="122">
        <v>1248</v>
      </c>
    </row>
    <row r="52" spans="1:2" ht="12.75">
      <c r="A52" s="123" t="str">
        <f>"+ Ptmos. fines generales en letras de crédito"</f>
        <v>+ Ptmos. fines generales en letras de crédito</v>
      </c>
      <c r="B52" s="122">
        <v>1305</v>
      </c>
    </row>
    <row r="53" spans="1:2" ht="12.75">
      <c r="A53" s="120" t="str">
        <f>"+ Deudores por boletas de garantía y consig. judic. (hasta 1 año)"</f>
        <v>+ Deudores por boletas de garantía y consig. judic. (hasta 1 año)</v>
      </c>
      <c r="B53" s="122">
        <v>1605</v>
      </c>
    </row>
    <row r="54" spans="1:2" ht="12.75">
      <c r="A54" s="120" t="str">
        <f>"+ Deudores por avales y fianzas (hasta 1 año)"</f>
        <v>+ Deudores por avales y fianzas (hasta 1 año)</v>
      </c>
      <c r="B54" s="122">
        <v>1610</v>
      </c>
    </row>
    <row r="55" spans="1:2" ht="12.75">
      <c r="A55" s="120" t="str">
        <f>"+ Deudores por boletas de garantía y consig. judic. (a más de 1 año)"</f>
        <v>+ Deudores por boletas de garantía y consig. judic. (a más de 1 año)</v>
      </c>
      <c r="B55" s="122">
        <v>1655</v>
      </c>
    </row>
    <row r="56" spans="1:2" ht="12.75">
      <c r="A56" s="120" t="str">
        <f>"+ Deudores por avales y fianzas (a más de 1 año)"</f>
        <v>+ Deudores por avales y fianzas (a más de 1 año)</v>
      </c>
      <c r="B56" s="122">
        <v>1660</v>
      </c>
    </row>
    <row r="57" spans="1:2" ht="12.75">
      <c r="A57" s="123" t="str">
        <f>"+ Créditos comerciales vencidos"</f>
        <v>+ Créditos comerciales vencidos</v>
      </c>
      <c r="B57" s="122">
        <v>1401</v>
      </c>
    </row>
    <row r="58" spans="1:2" ht="12.75">
      <c r="A58" s="123" t="str">
        <f>"+ Operaciones de factoraje"</f>
        <v>+ Operaciones de factoraje</v>
      </c>
      <c r="B58" s="122">
        <v>1135</v>
      </c>
    </row>
    <row r="59" spans="1:2" ht="12.75">
      <c r="A59" s="123" t="str">
        <f>"+ Operaciones de factoraje (vencidas)"</f>
        <v>+ Operaciones de factoraje (vencidas)</v>
      </c>
      <c r="B59" s="122">
        <v>1418</v>
      </c>
    </row>
    <row r="60" spans="1:2" ht="12.75">
      <c r="A60" s="123" t="str">
        <f>"+ Contratos de leasing comercial"</f>
        <v>+ Contratos de leasing comercial</v>
      </c>
      <c r="B60" s="122" t="s">
        <v>158</v>
      </c>
    </row>
    <row r="61" spans="1:2" ht="12.75">
      <c r="A61" s="123" t="str">
        <f>"+ Intereses diferidos leasing comercial"</f>
        <v>+ Intereses diferidos leasing comercial</v>
      </c>
      <c r="B61" s="124" t="s">
        <v>159</v>
      </c>
    </row>
    <row r="62" spans="1:2" ht="12.75">
      <c r="A62" s="123" t="str">
        <f>"+ IVA diferido leasing comercial"</f>
        <v>+ IVA diferido leasing comercial</v>
      </c>
      <c r="B62" s="124" t="s">
        <v>160</v>
      </c>
    </row>
    <row r="63" spans="1:2" ht="12.75">
      <c r="A63" s="123" t="str">
        <f>"+ Contratos de leasing comercial vencidos"</f>
        <v>+ Contratos de leasing comercial vencidos</v>
      </c>
      <c r="B63" s="122" t="s">
        <v>161</v>
      </c>
    </row>
    <row r="64" spans="1:2" ht="12.75">
      <c r="A64" s="123" t="str">
        <f>"+ Otros saldos de la partida 1350"</f>
        <v>+ Otros saldos de la partida 1350</v>
      </c>
      <c r="B64" s="125" t="s">
        <v>162</v>
      </c>
    </row>
    <row r="65" spans="1:2" ht="12.75">
      <c r="A65" s="123" t="str">
        <f>"+ Varios deudores"</f>
        <v>+ Varios deudores</v>
      </c>
      <c r="B65" s="122">
        <v>1140</v>
      </c>
    </row>
    <row r="66" spans="1:2" ht="12.75">
      <c r="A66" s="123" t="str">
        <f>"+ Ptmos. productivos reprogramados"</f>
        <v>+ Ptmos. productivos reprogramados</v>
      </c>
      <c r="B66" s="122">
        <v>1235</v>
      </c>
    </row>
    <row r="67" spans="1:2" ht="12.75">
      <c r="A67" s="123" t="s">
        <v>163</v>
      </c>
      <c r="B67" s="122">
        <v>1245</v>
      </c>
    </row>
    <row r="68" spans="1:2" ht="12.75">
      <c r="A68" s="127" t="str">
        <f>"+ Dividendos por cobrar"</f>
        <v>+ Dividendos por cobrar</v>
      </c>
      <c r="B68" s="126">
        <v>1315</v>
      </c>
    </row>
    <row r="70" spans="1:2" ht="12.75">
      <c r="A70" s="184" t="s">
        <v>165</v>
      </c>
      <c r="B70" s="185"/>
    </row>
    <row r="71" spans="1:2" ht="12.75">
      <c r="A71" s="119"/>
      <c r="B71" s="119"/>
    </row>
    <row r="72" spans="1:2" ht="12.75">
      <c r="A72" s="123" t="s">
        <v>166</v>
      </c>
      <c r="B72" s="125">
        <v>1125</v>
      </c>
    </row>
    <row r="73" spans="1:2" ht="12.75">
      <c r="A73" s="123" t="str">
        <f>"+ Créditos exportación (hasta 1 año)"</f>
        <v>+ Créditos exportación (hasta 1 año)</v>
      </c>
      <c r="B73" s="122">
        <v>1130</v>
      </c>
    </row>
    <row r="74" spans="1:2" ht="12.75">
      <c r="A74" s="123" t="str">
        <f>"+ Créditos importación (a más de 1 año)"</f>
        <v>+ Créditos importación (a más de 1 año)</v>
      </c>
      <c r="B74" s="122">
        <v>1220</v>
      </c>
    </row>
    <row r="75" spans="1:2" ht="12.75">
      <c r="A75" s="123" t="str">
        <f>"+ Créditos exportación (a más de 1 año)"</f>
        <v>+ Créditos exportación (a más de 1 año)</v>
      </c>
      <c r="B75" s="122">
        <v>1225</v>
      </c>
    </row>
    <row r="76" spans="1:2" ht="12.75">
      <c r="A76" s="123" t="str">
        <f>"+ Deudores por carta de crédito simples o documentarias"</f>
        <v>+ Deudores por carta de crédito simples o documentarias</v>
      </c>
      <c r="B76" s="122">
        <v>1615</v>
      </c>
    </row>
    <row r="77" spans="1:2" ht="12.75">
      <c r="A77" s="127" t="str">
        <f>"+ Deudores por carta crédito del exterior confirmadas"</f>
        <v>+ Deudores por carta crédito del exterior confirmadas</v>
      </c>
      <c r="B77" s="126">
        <v>1620</v>
      </c>
    </row>
    <row r="79" spans="1:2" ht="12.75">
      <c r="A79" s="184" t="s">
        <v>167</v>
      </c>
      <c r="B79" s="185"/>
    </row>
    <row r="80" spans="1:2" ht="12.75">
      <c r="A80" s="118"/>
      <c r="B80" s="119"/>
    </row>
    <row r="81" spans="1:2" ht="12.75">
      <c r="A81" s="120" t="s">
        <v>168</v>
      </c>
      <c r="B81" s="121">
        <v>1120</v>
      </c>
    </row>
    <row r="82" spans="1:2" ht="12.75">
      <c r="A82" s="116" t="str">
        <f>"+ Ptmos. a instituciones Financieras (a más de 1 año)"</f>
        <v>+ Ptmos. a instituciones Financieras (a más de 1 año)</v>
      </c>
      <c r="B82" s="126">
        <v>1215</v>
      </c>
    </row>
    <row r="84" spans="1:2" ht="12.75">
      <c r="A84" s="184" t="s">
        <v>169</v>
      </c>
      <c r="B84" s="185"/>
    </row>
    <row r="85" spans="1:2" ht="12.75">
      <c r="A85" s="118"/>
      <c r="B85" s="119"/>
    </row>
    <row r="86" spans="1:2" ht="12.75">
      <c r="A86" s="120" t="s">
        <v>170</v>
      </c>
      <c r="B86" s="125">
        <v>1115</v>
      </c>
    </row>
    <row r="87" spans="1:2" ht="12.75">
      <c r="A87" s="120" t="str">
        <f>"+ Ptmos. de consumo (a más de 1 año)"</f>
        <v>+ Ptmos. de consumo (a más de 1 año)</v>
      </c>
      <c r="B87" s="122">
        <v>1210</v>
      </c>
    </row>
    <row r="88" spans="1:2" ht="12.75">
      <c r="A88" s="120" t="str">
        <f>"+ Créditos de consumo vencidos"</f>
        <v>+ Créditos de consumo vencidos</v>
      </c>
      <c r="B88" s="122">
        <v>1411</v>
      </c>
    </row>
    <row r="89" spans="1:2" ht="12.75">
      <c r="A89" s="120" t="str">
        <f>"+ Contratos de leasing de consumo"</f>
        <v>+ Contratos de leasing de consumo</v>
      </c>
      <c r="B89" s="122" t="s">
        <v>171</v>
      </c>
    </row>
    <row r="90" spans="1:2" ht="12.75">
      <c r="A90" s="123" t="str">
        <f>"+ Intereses diferidos leasing  de consumo"</f>
        <v>+ Intereses diferidos leasing  de consumo</v>
      </c>
      <c r="B90" s="124" t="s">
        <v>172</v>
      </c>
    </row>
    <row r="91" spans="1:2" ht="12.75">
      <c r="A91" s="123" t="str">
        <f>"+ IVA diferido leasing de consumo"</f>
        <v>+ IVA diferido leasing de consumo</v>
      </c>
      <c r="B91" s="124" t="s">
        <v>173</v>
      </c>
    </row>
    <row r="92" spans="1:2" ht="12.75">
      <c r="A92" s="120" t="str">
        <f>"+ Contratos de leasing consumo vencidos"</f>
        <v>+ Contratos de leasing consumo vencidos</v>
      </c>
      <c r="B92" s="122" t="s">
        <v>174</v>
      </c>
    </row>
    <row r="93" spans="1:2" ht="12.75">
      <c r="A93" s="120" t="str">
        <f>"+ Créditos hipotecarios para vivienda"</f>
        <v>+ Créditos hipotecarios para vivienda</v>
      </c>
      <c r="B93" s="122">
        <v>1246</v>
      </c>
    </row>
    <row r="94" spans="1:2" ht="12.75">
      <c r="A94" s="120" t="s">
        <v>175</v>
      </c>
      <c r="B94" s="122">
        <v>1247</v>
      </c>
    </row>
    <row r="95" spans="1:2" ht="12.75">
      <c r="A95" s="120" t="str">
        <f>"+ Ptmos. para vivienda en letras de crédito"</f>
        <v>+ Ptmos. para vivienda en letras de crédito</v>
      </c>
      <c r="B95" s="122">
        <v>1310</v>
      </c>
    </row>
    <row r="96" spans="1:2" ht="12.75">
      <c r="A96" s="120" t="str">
        <f>"+ Créditos hipotecarios para vivienda vencidos"</f>
        <v>+ Créditos hipotecarios para vivienda vencidos</v>
      </c>
      <c r="B96" s="122">
        <v>1416</v>
      </c>
    </row>
    <row r="97" spans="1:2" ht="12.75">
      <c r="A97" s="120" t="str">
        <f>"+ Contratos de leasing de vivienda"</f>
        <v>+ Contratos de leasing de vivienda</v>
      </c>
      <c r="B97" s="122" t="s">
        <v>176</v>
      </c>
    </row>
    <row r="98" spans="1:2" ht="12.75">
      <c r="A98" s="123" t="str">
        <f>"+ Intereses diferidos leasing de vivienda"</f>
        <v>+ Intereses diferidos leasing de vivienda</v>
      </c>
      <c r="B98" s="124" t="s">
        <v>177</v>
      </c>
    </row>
    <row r="99" spans="1:2" ht="12.75">
      <c r="A99" s="123" t="str">
        <f>"+ IVA diferido leasing de vivienda"</f>
        <v>+ IVA diferido leasing de vivienda</v>
      </c>
      <c r="B99" s="124" t="s">
        <v>178</v>
      </c>
    </row>
    <row r="100" spans="1:2" ht="12.75">
      <c r="A100" s="116" t="str">
        <f>"+ Contratos de leasing de vivienda vencidos"</f>
        <v>+ Contratos de leasing de vivienda vencidos</v>
      </c>
      <c r="B100" s="126" t="s">
        <v>179</v>
      </c>
    </row>
    <row r="102" spans="1:2" ht="12.75">
      <c r="A102" s="184" t="s">
        <v>237</v>
      </c>
      <c r="B102" s="185"/>
    </row>
    <row r="103" spans="1:2" ht="12.75">
      <c r="A103" s="119"/>
      <c r="B103" s="119"/>
    </row>
    <row r="104" spans="1:2" ht="12.75">
      <c r="A104" s="123" t="s">
        <v>170</v>
      </c>
      <c r="B104" s="125">
        <v>1115</v>
      </c>
    </row>
    <row r="105" spans="1:2" ht="12.75">
      <c r="A105" s="123" t="str">
        <f>"+ Ptmos. de consumo (a más de 1 año)"</f>
        <v>+ Ptmos. de consumo (a más de 1 año)</v>
      </c>
      <c r="B105" s="122">
        <v>1210</v>
      </c>
    </row>
    <row r="106" spans="1:2" ht="12.75">
      <c r="A106" s="123" t="str">
        <f>"+ Créditos de consumo vencidos"</f>
        <v>+ Créditos de consumo vencidos</v>
      </c>
      <c r="B106" s="122">
        <v>1411</v>
      </c>
    </row>
    <row r="107" spans="1:2" ht="12.75">
      <c r="A107" s="123" t="str">
        <f>"+ Contratos de leasing de consumo"</f>
        <v>+ Contratos de leasing de consumo</v>
      </c>
      <c r="B107" s="122" t="s">
        <v>171</v>
      </c>
    </row>
    <row r="108" spans="1:2" ht="12.75">
      <c r="A108" s="123" t="str">
        <f>"+ Intereses diferidos leasing  de consumo"</f>
        <v>+ Intereses diferidos leasing  de consumo</v>
      </c>
      <c r="B108" s="125" t="s">
        <v>172</v>
      </c>
    </row>
    <row r="109" spans="1:2" ht="12.75">
      <c r="A109" s="123" t="str">
        <f>"+ IVA diferido leasing de consumo"</f>
        <v>+ IVA diferido leasing de consumo</v>
      </c>
      <c r="B109" s="125" t="s">
        <v>173</v>
      </c>
    </row>
    <row r="110" spans="1:2" ht="12.75">
      <c r="A110" s="127" t="str">
        <f>"+ Contratos de leasing consumo vencidos"</f>
        <v>+ Contratos de leasing consumo vencidos</v>
      </c>
      <c r="B110" s="126" t="s">
        <v>174</v>
      </c>
    </row>
    <row r="112" spans="1:2" ht="12.75">
      <c r="A112" s="184" t="s">
        <v>238</v>
      </c>
      <c r="B112" s="185"/>
    </row>
    <row r="113" spans="1:2" ht="12.75">
      <c r="A113" s="118"/>
      <c r="B113" s="119"/>
    </row>
    <row r="114" spans="1:2" ht="12.75">
      <c r="A114" s="120" t="s">
        <v>180</v>
      </c>
      <c r="B114" s="125">
        <v>1246</v>
      </c>
    </row>
    <row r="115" spans="1:2" ht="12.75">
      <c r="A115" s="120" t="s">
        <v>175</v>
      </c>
      <c r="B115" s="122">
        <v>1247</v>
      </c>
    </row>
    <row r="116" spans="1:2" ht="12.75">
      <c r="A116" s="120" t="str">
        <f>"+ Ptmos. para vivienda en letras de crédito"</f>
        <v>+ Ptmos. para vivienda en letras de crédito</v>
      </c>
      <c r="B116" s="122">
        <v>1310</v>
      </c>
    </row>
    <row r="117" spans="1:2" ht="12.75">
      <c r="A117" s="120" t="str">
        <f>"+ Créditos hipotecarios para vivienda vencidos"</f>
        <v>+ Créditos hipotecarios para vivienda vencidos</v>
      </c>
      <c r="B117" s="122">
        <v>1416</v>
      </c>
    </row>
    <row r="118" spans="1:2" ht="12.75">
      <c r="A118" s="120" t="str">
        <f>"+ Contratos de leasing de vivienda"</f>
        <v>+ Contratos de leasing de vivienda</v>
      </c>
      <c r="B118" s="122" t="s">
        <v>176</v>
      </c>
    </row>
    <row r="119" spans="1:2" ht="12.75">
      <c r="A119" s="123" t="str">
        <f>"+ Intereses diferidos leasing de vivienda"</f>
        <v>+ Intereses diferidos leasing de vivienda</v>
      </c>
      <c r="B119" s="124" t="s">
        <v>177</v>
      </c>
    </row>
    <row r="120" spans="1:2" ht="12.75">
      <c r="A120" s="123" t="str">
        <f>"+ IVA diferido leasing de vivienda"</f>
        <v>+ IVA diferido leasing de vivienda</v>
      </c>
      <c r="B120" s="124" t="s">
        <v>178</v>
      </c>
    </row>
    <row r="121" spans="1:2" ht="12.75">
      <c r="A121" s="116" t="str">
        <f>"+ Contratos de leasing de vivienda vencidos"</f>
        <v>+ Contratos de leasing de vivienda vencidos</v>
      </c>
      <c r="B121" s="126" t="s">
        <v>179</v>
      </c>
    </row>
    <row r="122" spans="1:2" ht="12.75">
      <c r="A122" s="33"/>
      <c r="B122" s="128"/>
    </row>
    <row r="123" spans="1:2" ht="12.75">
      <c r="A123" s="184" t="s">
        <v>70</v>
      </c>
      <c r="B123" s="185"/>
    </row>
    <row r="124" spans="1:2" ht="12.75">
      <c r="A124" s="114"/>
      <c r="B124" s="115"/>
    </row>
    <row r="125" spans="1:2" ht="12.75">
      <c r="A125" s="116" t="s">
        <v>70</v>
      </c>
      <c r="B125" s="117" t="s">
        <v>181</v>
      </c>
    </row>
    <row r="126" ht="12.75">
      <c r="A126" s="6"/>
    </row>
    <row r="127" spans="1:2" ht="12.75">
      <c r="A127" s="184" t="s">
        <v>71</v>
      </c>
      <c r="B127" s="185"/>
    </row>
    <row r="128" spans="1:2" ht="12.75">
      <c r="A128" s="114"/>
      <c r="B128" s="115"/>
    </row>
    <row r="129" spans="1:2" ht="12.75">
      <c r="A129" s="120" t="s">
        <v>182</v>
      </c>
      <c r="B129" s="125" t="s">
        <v>183</v>
      </c>
    </row>
    <row r="130" spans="1:2" ht="12.75">
      <c r="A130" s="120" t="str">
        <f>"- Cuentas ajuste control pasivo"</f>
        <v>- Cuentas ajuste control pasivo</v>
      </c>
      <c r="B130" s="125" t="str">
        <f>"- (4505 a 4525)"</f>
        <v>- (4505 a 4525)</v>
      </c>
    </row>
    <row r="131" spans="1:2" ht="12.75">
      <c r="A131" s="120" t="str">
        <f>"- Documentos a cargo de otros bancos (canje)"</f>
        <v>- Documentos a cargo de otros bancos (canje)</v>
      </c>
      <c r="B131" s="125" t="str">
        <f>"- 1015"</f>
        <v>- 1015</v>
      </c>
    </row>
    <row r="132" spans="1:2" ht="12.75">
      <c r="A132" s="116" t="str">
        <f>"- Operaciones a futuro pasivo"</f>
        <v>- Operaciones a futuro pasivo</v>
      </c>
      <c r="B132" s="129">
        <v>4127</v>
      </c>
    </row>
    <row r="133" ht="12.75">
      <c r="A133" s="6"/>
    </row>
    <row r="134" spans="1:2" ht="12.75">
      <c r="A134" s="184" t="s">
        <v>72</v>
      </c>
      <c r="B134" s="185"/>
    </row>
    <row r="135" spans="1:2" ht="12.75">
      <c r="A135" s="118"/>
      <c r="B135" s="119"/>
    </row>
    <row r="136" spans="1:2" ht="12.75">
      <c r="A136" s="120" t="s">
        <v>184</v>
      </c>
      <c r="B136" s="123">
        <v>3005</v>
      </c>
    </row>
    <row r="137" spans="1:2" ht="12.75">
      <c r="A137" s="120" t="str">
        <f>"+ Otros saldos acreedores a la vista"</f>
        <v>+ Otros saldos acreedores a la vista</v>
      </c>
      <c r="B137" s="130">
        <v>3010</v>
      </c>
    </row>
    <row r="138" spans="1:2" ht="12.75">
      <c r="A138" s="120" t="str">
        <f>"+ Cuentas de depósito a la vista"</f>
        <v>+ Cuentas de depósito a la vista</v>
      </c>
      <c r="B138" s="130">
        <v>3015</v>
      </c>
    </row>
    <row r="139" spans="1:2" ht="12.75">
      <c r="A139" s="120" t="str">
        <f>"- Documentos a cargo de otros bancos (canje)"</f>
        <v>- Documentos a cargo de otros bancos (canje)</v>
      </c>
      <c r="B139" s="131">
        <v>1015</v>
      </c>
    </row>
    <row r="140" spans="1:2" ht="12.75">
      <c r="A140" s="120" t="str">
        <f>"+ Depósitos y captaciones a plazo 30 a 89 días"</f>
        <v>+ Depósitos y captaciones a plazo 30 a 89 días</v>
      </c>
      <c r="B140" s="130">
        <v>3020</v>
      </c>
    </row>
    <row r="141" spans="1:2" ht="12.75">
      <c r="A141" s="120" t="str">
        <f>"+ Depósitos y captaciones a plazo 90 días a 1 año"</f>
        <v>+ Depósitos y captaciones a plazo 90 días a 1 año</v>
      </c>
      <c r="B141" s="130">
        <v>3025</v>
      </c>
    </row>
    <row r="142" spans="1:2" ht="12.75">
      <c r="A142" s="120" t="str">
        <f>"+ Otros saldos acreedores a plazo"</f>
        <v>+ Otros saldos acreedores a plazo</v>
      </c>
      <c r="B142" s="130">
        <v>3030</v>
      </c>
    </row>
    <row r="143" spans="1:2" ht="12.75">
      <c r="A143" s="120" t="str">
        <f>"+ Depósitos de ahorro a plazo"</f>
        <v>+ Depósitos de ahorro a plazo</v>
      </c>
      <c r="B143" s="130">
        <v>3035</v>
      </c>
    </row>
    <row r="144" spans="1:2" ht="12.75">
      <c r="A144" s="116" t="str">
        <f>"+ Depósitos y captaciones (a más de 1 año)"</f>
        <v>+ Depósitos y captaciones (a más de 1 año)</v>
      </c>
      <c r="B144" s="132">
        <v>3065</v>
      </c>
    </row>
    <row r="146" spans="1:2" ht="12.75">
      <c r="A146" s="184" t="s">
        <v>239</v>
      </c>
      <c r="B146" s="185"/>
    </row>
    <row r="147" spans="1:2" ht="12.75">
      <c r="A147" s="133"/>
      <c r="B147" s="134"/>
    </row>
    <row r="148" spans="1:2" ht="12.75">
      <c r="A148" s="123" t="s">
        <v>184</v>
      </c>
      <c r="B148" s="123">
        <v>3005</v>
      </c>
    </row>
    <row r="149" spans="1:2" ht="12.75">
      <c r="A149" s="123" t="str">
        <f>"+ Otros saldos acreedores a la vista"</f>
        <v>+ Otros saldos acreedores a la vista</v>
      </c>
      <c r="B149" s="130">
        <v>3010</v>
      </c>
    </row>
    <row r="150" spans="1:2" ht="12.75">
      <c r="A150" s="123" t="str">
        <f>"+ Cuentas de depósito a la vista"</f>
        <v>+ Cuentas de depósito a la vista</v>
      </c>
      <c r="B150" s="130">
        <v>3015</v>
      </c>
    </row>
    <row r="151" spans="1:2" ht="12.75">
      <c r="A151" s="127" t="str">
        <f>"- Documentos a cargo de otros bancos (canje)"</f>
        <v>- Documentos a cargo de otros bancos (canje)</v>
      </c>
      <c r="B151" s="135">
        <v>1015</v>
      </c>
    </row>
    <row r="153" spans="1:2" ht="12.75">
      <c r="A153" s="184" t="s">
        <v>185</v>
      </c>
      <c r="B153" s="185"/>
    </row>
    <row r="154" spans="1:2" ht="12.75">
      <c r="A154" s="136"/>
      <c r="B154" s="119"/>
    </row>
    <row r="155" spans="1:2" ht="12.75">
      <c r="A155" s="120" t="str">
        <f>"   Depósitos y captaciones a plazo 30 a 89 días"</f>
        <v>   Depósitos y captaciones a plazo 30 a 89 días</v>
      </c>
      <c r="B155" s="123">
        <v>3020</v>
      </c>
    </row>
    <row r="156" spans="1:2" ht="12.75">
      <c r="A156" s="120" t="str">
        <f>"+ Depósitos y captaciones a plazo 90 días a 1 año"</f>
        <v>+ Depósitos y captaciones a plazo 90 días a 1 año</v>
      </c>
      <c r="B156" s="130">
        <v>3025</v>
      </c>
    </row>
    <row r="157" spans="1:2" ht="12.75">
      <c r="A157" s="120" t="str">
        <f>"+ Otros saldos acreedores a plazo"</f>
        <v>+ Otros saldos acreedores a plazo</v>
      </c>
      <c r="B157" s="130">
        <v>3030</v>
      </c>
    </row>
    <row r="158" spans="1:2" ht="12.75">
      <c r="A158" s="120" t="str">
        <f>"+ Depósitos de ahorro a plazo"</f>
        <v>+ Depósitos de ahorro a plazo</v>
      </c>
      <c r="B158" s="130">
        <v>3035</v>
      </c>
    </row>
    <row r="159" spans="1:2" ht="12.75">
      <c r="A159" s="116" t="str">
        <f>"+ Depósitos y captaciones (a más de 1 año)"</f>
        <v>+ Depósitos y captaciones (a más de 1 año)</v>
      </c>
      <c r="B159" s="132">
        <v>3065</v>
      </c>
    </row>
    <row r="161" spans="1:2" ht="12.75">
      <c r="A161" s="184" t="s">
        <v>115</v>
      </c>
      <c r="B161" s="185"/>
    </row>
    <row r="162" spans="1:2" ht="12.75">
      <c r="A162" s="118"/>
      <c r="B162" s="119"/>
    </row>
    <row r="163" spans="1:2" ht="12.75">
      <c r="A163" s="120" t="s">
        <v>186</v>
      </c>
      <c r="B163" s="125" t="s">
        <v>187</v>
      </c>
    </row>
    <row r="164" spans="1:2" ht="12.75">
      <c r="A164" s="116" t="str">
        <f>"+ Cartas de crédito simples o documentarias"</f>
        <v>+ Cartas de crédito simples o documentarias</v>
      </c>
      <c r="B164" s="132">
        <v>3615</v>
      </c>
    </row>
    <row r="166" spans="1:2" ht="12.75">
      <c r="A166" s="184" t="s">
        <v>116</v>
      </c>
      <c r="B166" s="185"/>
    </row>
    <row r="167" spans="1:2" ht="12.75">
      <c r="A167" s="119"/>
      <c r="B167" s="119"/>
    </row>
    <row r="168" spans="1:2" ht="12.75">
      <c r="A168" s="123" t="str">
        <f>"Obligaciones con letras  de crédito"</f>
        <v>Obligaciones con letras  de crédito</v>
      </c>
      <c r="B168" s="125" t="s">
        <v>188</v>
      </c>
    </row>
    <row r="169" spans="1:2" ht="12.75">
      <c r="A169" s="123" t="str">
        <f>" + Obligaciones por bonos (ordinarios)"</f>
        <v> + Obligaciones por bonos (ordinarios)</v>
      </c>
      <c r="B169" s="130">
        <v>3075</v>
      </c>
    </row>
    <row r="170" spans="1:2" ht="12.75">
      <c r="A170" s="127" t="s">
        <v>189</v>
      </c>
      <c r="B170" s="132">
        <v>4190</v>
      </c>
    </row>
    <row r="172" spans="1:2" ht="12.75">
      <c r="A172" s="184" t="s">
        <v>190</v>
      </c>
      <c r="B172" s="185"/>
    </row>
    <row r="173" spans="1:2" ht="12.75">
      <c r="A173" s="115"/>
      <c r="B173" s="115"/>
    </row>
    <row r="174" spans="1:2" ht="12.75">
      <c r="A174" s="127" t="str">
        <f>"Obligaciones con letras  de crédito"</f>
        <v>Obligaciones con letras  de crédito</v>
      </c>
      <c r="B174" s="117" t="s">
        <v>188</v>
      </c>
    </row>
    <row r="176" spans="1:2" ht="12.75">
      <c r="A176" s="184" t="s">
        <v>191</v>
      </c>
      <c r="B176" s="185"/>
    </row>
    <row r="177" spans="1:2" ht="12.75">
      <c r="A177" s="119"/>
      <c r="B177" s="119"/>
    </row>
    <row r="178" spans="1:2" ht="12.75">
      <c r="A178" s="127" t="str">
        <f>"Obligaciones por bonos (ordinarios)"</f>
        <v>Obligaciones por bonos (ordinarios)</v>
      </c>
      <c r="B178" s="137">
        <v>3075</v>
      </c>
    </row>
    <row r="180" spans="1:2" ht="12.75">
      <c r="A180" s="184" t="s">
        <v>192</v>
      </c>
      <c r="B180" s="185"/>
    </row>
    <row r="181" spans="1:2" ht="12.75">
      <c r="A181" s="118"/>
      <c r="B181" s="138"/>
    </row>
    <row r="182" spans="1:2" ht="12.75">
      <c r="A182" s="116" t="s">
        <v>192</v>
      </c>
      <c r="B182" s="127">
        <v>4190</v>
      </c>
    </row>
    <row r="184" spans="1:2" ht="12.75">
      <c r="A184" s="184" t="s">
        <v>73</v>
      </c>
      <c r="B184" s="185"/>
    </row>
    <row r="185" spans="1:2" ht="12.75">
      <c r="A185" s="119"/>
      <c r="B185" s="138"/>
    </row>
    <row r="186" spans="1:2" ht="12.75">
      <c r="A186" s="127" t="s">
        <v>73</v>
      </c>
      <c r="B186" s="117" t="s">
        <v>193</v>
      </c>
    </row>
    <row r="188" spans="1:2" ht="12.75">
      <c r="A188" s="184" t="s">
        <v>76</v>
      </c>
      <c r="B188" s="185"/>
    </row>
    <row r="189" spans="1:2" ht="12.75">
      <c r="A189" s="119"/>
      <c r="B189" s="138"/>
    </row>
    <row r="190" spans="1:2" ht="12.75">
      <c r="A190" s="116" t="s">
        <v>76</v>
      </c>
      <c r="B190" s="117" t="s">
        <v>194</v>
      </c>
    </row>
    <row r="192" spans="1:2" ht="12.75">
      <c r="A192" s="184" t="s">
        <v>75</v>
      </c>
      <c r="B192" s="185"/>
    </row>
    <row r="193" spans="1:2" ht="12.75">
      <c r="A193" s="119"/>
      <c r="B193" s="138"/>
    </row>
    <row r="194" spans="1:2" ht="12.75">
      <c r="A194" s="123" t="s">
        <v>195</v>
      </c>
      <c r="B194" s="125">
        <v>1350</v>
      </c>
    </row>
    <row r="195" spans="1:2" ht="12.75">
      <c r="A195" s="127" t="str">
        <f>"+ contratos de leasing vencidos"</f>
        <v>+ contratos de leasing vencidos</v>
      </c>
      <c r="B195" s="132">
        <v>1421</v>
      </c>
    </row>
    <row r="196" spans="1:2" ht="12.75">
      <c r="A196" s="6"/>
      <c r="B196" s="139"/>
    </row>
    <row r="197" spans="1:2" ht="12.75">
      <c r="A197" s="184" t="s">
        <v>93</v>
      </c>
      <c r="B197" s="185"/>
    </row>
    <row r="198" spans="1:2" ht="12.75">
      <c r="A198" s="119"/>
      <c r="B198" s="138"/>
    </row>
    <row r="199" spans="1:2" ht="12.75">
      <c r="A199" s="123" t="s">
        <v>196</v>
      </c>
      <c r="B199" s="122">
        <v>1135</v>
      </c>
    </row>
    <row r="200" spans="1:2" ht="12.75">
      <c r="A200" s="127" t="str">
        <f>"+ Operaciones de factoraje vencidas"</f>
        <v>+ Operaciones de factoraje vencidas</v>
      </c>
      <c r="B200" s="126">
        <v>1418</v>
      </c>
    </row>
    <row r="202" spans="1:2" ht="12.75">
      <c r="A202" s="184" t="s">
        <v>74</v>
      </c>
      <c r="B202" s="185"/>
    </row>
    <row r="203" spans="1:2" ht="12.75">
      <c r="A203" s="119"/>
      <c r="B203" s="119"/>
    </row>
    <row r="204" spans="1:2" ht="12.75">
      <c r="A204" s="123" t="str">
        <f>"   Deudores por boletas de garantía y consig. judic. (hasta 1 año)"</f>
        <v>   Deudores por boletas de garantía y consig. judic. (hasta 1 año)</v>
      </c>
      <c r="B204" s="121">
        <v>1605</v>
      </c>
    </row>
    <row r="205" spans="1:2" ht="12.75">
      <c r="A205" s="123" t="str">
        <f>"+ Deudores por avales y fianzas (hasta 1 año)"</f>
        <v>+ Deudores por avales y fianzas (hasta 1 año)</v>
      </c>
      <c r="B205" s="122">
        <v>1610</v>
      </c>
    </row>
    <row r="206" spans="1:2" ht="12.75">
      <c r="A206" s="123" t="str">
        <f>"+ Deudores por carta crédito simples y documentarias"</f>
        <v>+ Deudores por carta crédito simples y documentarias</v>
      </c>
      <c r="B206" s="122">
        <v>1615</v>
      </c>
    </row>
    <row r="207" spans="1:2" ht="12.75">
      <c r="A207" s="123" t="str">
        <f>"+ Deudores por carta crédito del exterior confirmadas"</f>
        <v>+ Deudores por carta crédito del exterior confirmadas</v>
      </c>
      <c r="B207" s="122">
        <v>1620</v>
      </c>
    </row>
    <row r="208" spans="1:2" ht="12.75">
      <c r="A208" s="123" t="str">
        <f>"+ Deudores por boletas de garantía y consig. judic. (a más de 1 año)"</f>
        <v>+ Deudores por boletas de garantía y consig. judic. (a más de 1 año)</v>
      </c>
      <c r="B208" s="122">
        <v>1655</v>
      </c>
    </row>
    <row r="209" spans="1:2" ht="12.75">
      <c r="A209" s="127" t="str">
        <f>"+ Deudores por avales y fianzas (a más de 1 año)"</f>
        <v>+ Deudores por avales y fianzas (a más de 1 año)</v>
      </c>
      <c r="B209" s="126">
        <v>1660</v>
      </c>
    </row>
    <row r="212" spans="1:2" ht="12.75">
      <c r="A212" s="184" t="s">
        <v>77</v>
      </c>
      <c r="B212" s="185"/>
    </row>
    <row r="213" spans="1:2" ht="12.75">
      <c r="A213" s="118"/>
      <c r="B213" s="119"/>
    </row>
    <row r="214" spans="1:2" ht="12.75">
      <c r="A214" s="116" t="s">
        <v>77</v>
      </c>
      <c r="B214" s="117" t="s">
        <v>244</v>
      </c>
    </row>
    <row r="215" spans="1:2" ht="12.75">
      <c r="A215" s="6"/>
      <c r="B215" s="140"/>
    </row>
    <row r="217" spans="1:2" ht="12.75">
      <c r="A217" s="184" t="s">
        <v>197</v>
      </c>
      <c r="B217" s="185"/>
    </row>
    <row r="218" spans="1:2" ht="12.75">
      <c r="A218" s="118"/>
      <c r="B218" s="119"/>
    </row>
    <row r="219" spans="1:2" ht="12.75">
      <c r="A219" s="120" t="s">
        <v>198</v>
      </c>
      <c r="B219" s="125" t="s">
        <v>199</v>
      </c>
    </row>
    <row r="220" spans="1:2" ht="12.75">
      <c r="A220" s="120" t="str">
        <f>"+ Reajustes percibidos y devengados"</f>
        <v>+ Reajustes percibidos y devengados</v>
      </c>
      <c r="B220" s="125" t="s">
        <v>200</v>
      </c>
    </row>
    <row r="221" spans="1:2" ht="12.75">
      <c r="A221" s="120" t="str">
        <f>"- Intereses pagados y devengados"</f>
        <v>- Intereses pagados y devengados</v>
      </c>
      <c r="B221" s="125" t="s">
        <v>201</v>
      </c>
    </row>
    <row r="222" spans="1:2" ht="12.75">
      <c r="A222" s="120" t="str">
        <f>"- Reajustes pagados y devengados"</f>
        <v>- Reajustes pagados y devengados</v>
      </c>
      <c r="B222" s="125" t="str">
        <f>"- 5305 a 5400"</f>
        <v>- 5305 a 5400</v>
      </c>
    </row>
    <row r="223" spans="1:2" ht="12.75">
      <c r="A223" s="120" t="str">
        <f>"+ Utilidades de cambio"</f>
        <v>+ Utilidades de cambio</v>
      </c>
      <c r="B223" s="125" t="s">
        <v>202</v>
      </c>
    </row>
    <row r="224" spans="1:2" ht="12.75">
      <c r="A224" s="116" t="str">
        <f>"- Pérdidas de cambio"</f>
        <v>- Pérdidas de cambio</v>
      </c>
      <c r="B224" s="117" t="str">
        <f>"- 5705 a 5710"</f>
        <v>- 5705 a 5710</v>
      </c>
    </row>
    <row r="226" spans="1:2" ht="12.75">
      <c r="A226" s="184" t="s">
        <v>80</v>
      </c>
      <c r="B226" s="185"/>
    </row>
    <row r="227" spans="1:2" ht="12.75">
      <c r="A227" s="119"/>
      <c r="B227" s="119"/>
    </row>
    <row r="228" spans="1:2" ht="12.75">
      <c r="A228" s="123" t="str">
        <f>"  Comisiones percibidas y devengadas"</f>
        <v>  Comisiones percibidas y devengadas</v>
      </c>
      <c r="B228" s="125" t="s">
        <v>203</v>
      </c>
    </row>
    <row r="229" spans="1:2" ht="12.75">
      <c r="A229" s="127" t="str">
        <f>"- Comisiones pagadas y devengadas"</f>
        <v>- Comisiones pagadas y devengadas</v>
      </c>
      <c r="B229" s="117" t="str">
        <f>"- 5505 a 5530"</f>
        <v>- 5505 a 5530</v>
      </c>
    </row>
    <row r="231" spans="1:2" ht="12.75">
      <c r="A231" s="184" t="s">
        <v>204</v>
      </c>
      <c r="B231" s="185"/>
    </row>
    <row r="232" spans="1:2" ht="12.75">
      <c r="A232" s="119"/>
      <c r="B232" s="119"/>
    </row>
    <row r="233" spans="1:2" ht="12.75">
      <c r="A233" s="123"/>
      <c r="B233" s="123"/>
    </row>
    <row r="234" spans="1:2" ht="12.75">
      <c r="A234" s="127" t="s">
        <v>205</v>
      </c>
      <c r="B234" s="141" t="s">
        <v>206</v>
      </c>
    </row>
    <row r="236" spans="1:2" ht="12.75">
      <c r="A236" s="184" t="s">
        <v>207</v>
      </c>
      <c r="B236" s="185"/>
    </row>
    <row r="237" spans="1:2" ht="12.75">
      <c r="A237" s="118"/>
      <c r="B237" s="119"/>
    </row>
    <row r="238" spans="1:2" ht="12.75">
      <c r="A238" s="120" t="s">
        <v>208</v>
      </c>
      <c r="B238" s="125" t="s">
        <v>209</v>
      </c>
    </row>
    <row r="239" spans="1:2" ht="12.75">
      <c r="A239" s="120" t="str">
        <f>"- Pérdidas por diferencias de precio"</f>
        <v>- Pérdidas por diferencias de precio</v>
      </c>
      <c r="B239" s="125" t="str">
        <f>"- 5605 a 5650"</f>
        <v>- 5605 a 5650</v>
      </c>
    </row>
    <row r="240" spans="1:2" ht="12.75">
      <c r="A240" s="120" t="str">
        <f>"+ Otros Ingresos de operación"</f>
        <v>+ Otros Ingresos de operación</v>
      </c>
      <c r="B240" s="122">
        <v>7910</v>
      </c>
    </row>
    <row r="241" spans="1:2" ht="12.75">
      <c r="A241" s="120" t="str">
        <f>"- Otros gastos de operación"</f>
        <v>- Otros gastos de operación</v>
      </c>
      <c r="B241" s="125" t="str">
        <f>"- 5900"</f>
        <v>- 5900</v>
      </c>
    </row>
    <row r="242" spans="1:2" ht="12.75">
      <c r="A242" s="120" t="str">
        <f>"+ Corrección Monetaria (ingreso)"</f>
        <v>+ Corrección Monetaria (ingreso)</v>
      </c>
      <c r="B242" s="122">
        <v>8405</v>
      </c>
    </row>
    <row r="243" spans="1:2" ht="12.75">
      <c r="A243" s="116" t="str">
        <f>"- Corrección Monetaria (gasto)"</f>
        <v>- Corrección Monetaria (gasto)</v>
      </c>
      <c r="B243" s="129">
        <v>6405</v>
      </c>
    </row>
    <row r="245" spans="1:2" ht="12.75">
      <c r="A245" s="186" t="s">
        <v>82</v>
      </c>
      <c r="B245" s="187"/>
    </row>
    <row r="246" spans="1:2" ht="12.75">
      <c r="A246" s="118"/>
      <c r="B246" s="154"/>
    </row>
    <row r="247" spans="1:2" ht="12.75">
      <c r="A247" s="120" t="s">
        <v>210</v>
      </c>
      <c r="B247" s="155"/>
    </row>
    <row r="248" spans="1:2" ht="12.75">
      <c r="A248" s="120" t="str">
        <f>"+ Comisiones netas"</f>
        <v>+ Comisiones netas</v>
      </c>
      <c r="B248" s="155"/>
    </row>
    <row r="249" spans="1:2" ht="12.75">
      <c r="A249" s="120" t="str">
        <f>"+ Recuperación de colocaciones  e inversiones castigadas"</f>
        <v>+ Recuperación de colocaciones  e inversiones castigadas</v>
      </c>
      <c r="B249" s="155"/>
    </row>
    <row r="250" spans="1:2" ht="12.75">
      <c r="A250" s="116" t="str">
        <f>"+ Otros ingresos de operación netos"</f>
        <v>+ Otros ingresos de operación netos</v>
      </c>
      <c r="B250" s="156"/>
    </row>
    <row r="251" spans="1:2" ht="12.75">
      <c r="A251" s="6"/>
      <c r="B251" s="6"/>
    </row>
    <row r="252" spans="1:2" ht="12.75">
      <c r="A252" s="184" t="s">
        <v>83</v>
      </c>
      <c r="B252" s="185"/>
    </row>
    <row r="253" spans="1:2" ht="12.75">
      <c r="A253" s="119"/>
      <c r="B253" s="119"/>
    </row>
    <row r="254" spans="1:2" ht="12.75">
      <c r="A254" s="127" t="s">
        <v>83</v>
      </c>
      <c r="B254" s="117" t="s">
        <v>211</v>
      </c>
    </row>
    <row r="255" spans="1:2" ht="12.75">
      <c r="A255" s="6"/>
      <c r="B255" s="6"/>
    </row>
    <row r="256" spans="1:2" ht="12.75">
      <c r="A256" s="184" t="s">
        <v>49</v>
      </c>
      <c r="B256" s="185"/>
    </row>
    <row r="257" spans="1:2" ht="12.75">
      <c r="A257" s="119"/>
      <c r="B257" s="119"/>
    </row>
    <row r="258" spans="1:2" ht="12.75">
      <c r="A258" s="123" t="s">
        <v>212</v>
      </c>
      <c r="B258" s="125" t="s">
        <v>213</v>
      </c>
    </row>
    <row r="259" spans="1:2" ht="12.75">
      <c r="A259" s="127" t="s">
        <v>214</v>
      </c>
      <c r="B259" s="141" t="s">
        <v>215</v>
      </c>
    </row>
    <row r="261" spans="1:2" ht="12.75">
      <c r="A261" s="186" t="s">
        <v>84</v>
      </c>
      <c r="B261" s="187"/>
    </row>
    <row r="262" spans="1:2" ht="12.75">
      <c r="A262" s="118"/>
      <c r="B262" s="154"/>
    </row>
    <row r="263" spans="1:2" ht="12.75">
      <c r="A263" s="120" t="s">
        <v>216</v>
      </c>
      <c r="B263" s="155"/>
    </row>
    <row r="264" spans="1:2" ht="12.75">
      <c r="A264" s="120" t="str">
        <f>"- Gastos de apoyo operacional"</f>
        <v>- Gastos de apoyo operacional</v>
      </c>
      <c r="B264" s="155"/>
    </row>
    <row r="265" spans="1:2" ht="12.75">
      <c r="A265" s="116" t="str">
        <f>"- Gasto en provisiones"</f>
        <v>- Gasto en provisiones</v>
      </c>
      <c r="B265" s="156"/>
    </row>
    <row r="266" spans="1:2" ht="12.75">
      <c r="A266" s="64"/>
      <c r="B266" s="64"/>
    </row>
    <row r="267" spans="1:2" ht="12.75">
      <c r="A267" s="184" t="s">
        <v>240</v>
      </c>
      <c r="B267" s="185"/>
    </row>
    <row r="268" spans="1:2" ht="12.75">
      <c r="A268" s="119"/>
      <c r="B268" s="119"/>
    </row>
    <row r="269" spans="1:2" ht="12.75">
      <c r="A269" s="142" t="s">
        <v>218</v>
      </c>
      <c r="B269" s="143">
        <v>8350</v>
      </c>
    </row>
    <row r="270" spans="1:2" ht="12.75">
      <c r="A270" s="142" t="str">
        <f>"- Pérdidas por inversión en sociedades"</f>
        <v>- Pérdidas por inversión en sociedades</v>
      </c>
      <c r="B270" s="144">
        <v>6350</v>
      </c>
    </row>
    <row r="271" spans="1:2" ht="12.75">
      <c r="A271" s="120" t="str">
        <f>"+ Utilidades de sucursales en el exterior"</f>
        <v>+ Utilidades de sucursales en el exterior</v>
      </c>
      <c r="B271" s="122">
        <v>8320</v>
      </c>
    </row>
    <row r="272" spans="1:2" ht="12.75">
      <c r="A272" s="116" t="str">
        <f>"- Perdidas de sucursales en el exterior"</f>
        <v>- Perdidas de sucursales en el exterior</v>
      </c>
      <c r="B272" s="129">
        <v>6320</v>
      </c>
    </row>
    <row r="273" spans="1:2" ht="12.75">
      <c r="A273" s="64"/>
      <c r="B273" s="64"/>
    </row>
    <row r="274" spans="1:2" ht="12.75">
      <c r="A274" s="186" t="s">
        <v>241</v>
      </c>
      <c r="B274" s="187"/>
    </row>
    <row r="275" spans="1:2" ht="12.75">
      <c r="A275" s="188" t="s">
        <v>219</v>
      </c>
      <c r="B275" s="189"/>
    </row>
    <row r="276" spans="1:2" ht="12.75">
      <c r="A276" s="114"/>
      <c r="B276" s="145"/>
    </row>
    <row r="277" spans="1:2" ht="12.75">
      <c r="A277" s="157" t="s">
        <v>220</v>
      </c>
      <c r="B277" s="158"/>
    </row>
    <row r="278" spans="1:2" ht="12.75">
      <c r="A278" s="159" t="str">
        <f>"+ Utilidades de inversiones en sociedades y de sucurs. en el exterior"</f>
        <v>+ Utilidades de inversiones en sociedades y de sucurs. en el exterior</v>
      </c>
      <c r="B278" s="160"/>
    </row>
    <row r="279" spans="1:2" ht="12.75">
      <c r="A279" s="64"/>
      <c r="B279" s="64"/>
    </row>
    <row r="280" spans="1:2" ht="12.75">
      <c r="A280" s="184" t="s">
        <v>104</v>
      </c>
      <c r="B280" s="185"/>
    </row>
    <row r="281" spans="1:2" ht="12.75">
      <c r="A281" s="118"/>
      <c r="B281" s="119"/>
    </row>
    <row r="282" spans="1:2" ht="12.75">
      <c r="A282" s="120" t="s">
        <v>221</v>
      </c>
      <c r="B282" s="125" t="s">
        <v>222</v>
      </c>
    </row>
    <row r="283" spans="1:2" ht="12.75">
      <c r="A283" s="120" t="s">
        <v>223</v>
      </c>
      <c r="B283" s="122">
        <v>8115</v>
      </c>
    </row>
    <row r="284" spans="1:2" ht="12.75">
      <c r="A284" s="116" t="str">
        <f>"- Gastos no operacionales"</f>
        <v>- Gastos no operacionales</v>
      </c>
      <c r="B284" s="117" t="str">
        <f>"- 6305 a 6315"</f>
        <v>- 6305 a 6315</v>
      </c>
    </row>
    <row r="285" spans="1:2" ht="12.75">
      <c r="A285" s="64"/>
      <c r="B285" s="64"/>
    </row>
    <row r="286" spans="1:2" ht="12.75">
      <c r="A286" s="186" t="s">
        <v>99</v>
      </c>
      <c r="B286" s="187"/>
    </row>
    <row r="287" spans="1:2" ht="12.75">
      <c r="A287" s="118"/>
      <c r="B287" s="154"/>
    </row>
    <row r="288" spans="1:2" ht="12.75">
      <c r="A288" s="157" t="s">
        <v>242</v>
      </c>
      <c r="B288" s="155"/>
    </row>
    <row r="289" spans="1:2" ht="12.75">
      <c r="A289" s="157" t="s">
        <v>224</v>
      </c>
      <c r="B289" s="155"/>
    </row>
    <row r="290" spans="1:2" ht="12.75">
      <c r="A290" s="116" t="str">
        <f>"+ Otros ingresos netos"</f>
        <v>+ Otros ingresos netos</v>
      </c>
      <c r="B290" s="156"/>
    </row>
    <row r="291" spans="1:2" ht="12.75">
      <c r="A291" s="6"/>
      <c r="B291" s="6"/>
    </row>
    <row r="292" spans="1:2" ht="12.75">
      <c r="A292" s="184" t="s">
        <v>94</v>
      </c>
      <c r="B292" s="185"/>
    </row>
    <row r="293" spans="1:2" ht="12.75">
      <c r="A293" s="119"/>
      <c r="B293" s="119"/>
    </row>
    <row r="294" spans="1:2" ht="12.75">
      <c r="A294" s="146" t="s">
        <v>225</v>
      </c>
      <c r="B294" s="127">
        <v>6605</v>
      </c>
    </row>
    <row r="295" ht="12.75">
      <c r="A295" s="6"/>
    </row>
    <row r="296" spans="1:2" ht="12.75">
      <c r="A296" s="186" t="s">
        <v>85</v>
      </c>
      <c r="B296" s="187"/>
    </row>
    <row r="297" spans="1:2" ht="12.75">
      <c r="A297" s="118"/>
      <c r="B297" s="154"/>
    </row>
    <row r="298" spans="1:2" ht="12.75">
      <c r="A298" s="157" t="s">
        <v>226</v>
      </c>
      <c r="B298" s="155"/>
    </row>
    <row r="299" spans="1:2" ht="12.75">
      <c r="A299" s="116" t="str">
        <f>"- Impuestos"</f>
        <v>- Impuestos</v>
      </c>
      <c r="B299" s="156"/>
    </row>
    <row r="300" ht="12.75">
      <c r="A300" s="6"/>
    </row>
    <row r="301" spans="1:2" ht="12.75">
      <c r="A301" s="184" t="s">
        <v>128</v>
      </c>
      <c r="B301" s="185"/>
    </row>
    <row r="302" spans="1:2" ht="12.75">
      <c r="A302" s="114"/>
      <c r="B302" s="115"/>
    </row>
    <row r="303" spans="1:2" ht="12.75">
      <c r="A303" s="147" t="s">
        <v>128</v>
      </c>
      <c r="B303" s="127">
        <v>9602</v>
      </c>
    </row>
  </sheetData>
  <mergeCells count="40">
    <mergeCell ref="A296:B296"/>
    <mergeCell ref="A301:B301"/>
    <mergeCell ref="A256:B256"/>
    <mergeCell ref="A261:B261"/>
    <mergeCell ref="A267:B267"/>
    <mergeCell ref="A275:B275"/>
    <mergeCell ref="A280:B280"/>
    <mergeCell ref="A286:B286"/>
    <mergeCell ref="A292:B292"/>
    <mergeCell ref="A274:B274"/>
    <mergeCell ref="A231:B231"/>
    <mergeCell ref="A236:B236"/>
    <mergeCell ref="A245:B245"/>
    <mergeCell ref="A252:B252"/>
    <mergeCell ref="A202:B202"/>
    <mergeCell ref="A212:B212"/>
    <mergeCell ref="A217:B217"/>
    <mergeCell ref="A226:B226"/>
    <mergeCell ref="A184:B184"/>
    <mergeCell ref="A188:B188"/>
    <mergeCell ref="A192:B192"/>
    <mergeCell ref="A197:B197"/>
    <mergeCell ref="A166:B166"/>
    <mergeCell ref="A172:B172"/>
    <mergeCell ref="A176:B176"/>
    <mergeCell ref="A180:B180"/>
    <mergeCell ref="A12:B12"/>
    <mergeCell ref="A16:B16"/>
    <mergeCell ref="A47:B47"/>
    <mergeCell ref="A70:B70"/>
    <mergeCell ref="A79:B79"/>
    <mergeCell ref="A84:B84"/>
    <mergeCell ref="A102:B102"/>
    <mergeCell ref="A112:B112"/>
    <mergeCell ref="A146:B146"/>
    <mergeCell ref="A153:B153"/>
    <mergeCell ref="A161:B161"/>
    <mergeCell ref="A123:B123"/>
    <mergeCell ref="A127:B127"/>
    <mergeCell ref="A134:B134"/>
  </mergeCells>
  <hyperlinks>
    <hyperlink ref="G1" location="Indice!A1" display="Volver"/>
  </hyperlinks>
  <printOptions/>
  <pageMargins left="0.75" right="0.75" top="1" bottom="1" header="0" footer="0"/>
  <pageSetup horizontalDpi="600" verticalDpi="600" orientation="portrait" r:id="rId2"/>
  <rowBreaks count="6" manualBreakCount="6">
    <brk id="46" max="1" man="1"/>
    <brk id="83" max="1" man="1"/>
    <brk id="126" max="1" man="1"/>
    <brk id="171" max="1" man="1"/>
    <brk id="216" max="1" man="1"/>
    <brk id="26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Información Financiera Mensual - Julio 2005</dc:title>
  <dc:subject/>
  <dc:creator>Superintendencia de Bancos e Instituciones Financieras - SBIF</dc:creator>
  <cp:keywords/>
  <dc:description/>
  <cp:lastModifiedBy>Juan Carlos Camus</cp:lastModifiedBy>
  <cp:lastPrinted>2005-08-25T19:30:33Z</cp:lastPrinted>
  <dcterms:created xsi:type="dcterms:W3CDTF">1998-06-19T14:09:35Z</dcterms:created>
  <dcterms:modified xsi:type="dcterms:W3CDTF">2005-08-25T19:33:50Z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2089828917</vt:i4>
  </property>
  <property fmtid="{D5CDD505-2E9C-101B-9397-08002B2CF9AE}" pid="3" name="_EmailSubject">
    <vt:lpwstr>Rectificado Información Financiera Mensual - Julio de 2005.xls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ReviewingToolsShownOnce">
    <vt:lpwstr/>
  </property>
</Properties>
</file>