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16" windowWidth="11745" windowHeight="7725" activeTab="0"/>
  </bookViews>
  <sheets>
    <sheet name="Indice" sheetId="1" r:id="rId1"/>
    <sheet name="Información Sistema" sheetId="2" r:id="rId2"/>
    <sheet name="Activos-Pasivos Bancos" sheetId="3" r:id="rId3"/>
    <sheet name="Estado Resultados Bancos" sheetId="4" r:id="rId4"/>
    <sheet name="Indicadores Bancos" sheetId="5" r:id="rId5"/>
    <sheet name="Definiciones Usadas" sheetId="6" r:id="rId6"/>
  </sheets>
  <definedNames>
    <definedName name="_xlnm.Print_Area" localSheetId="2">'Activos-Pasivos Bancos'!$A$4:$P$52</definedName>
    <definedName name="_xlnm.Print_Area" localSheetId="5">'Definiciones Usadas'!$A$3:$B$303</definedName>
    <definedName name="_xlnm.Print_Area" localSheetId="3">'Estado Resultados Bancos'!$A$3:$Q$51</definedName>
    <definedName name="_xlnm.Print_Area" localSheetId="4">'Indicadores Bancos'!$A$3:$L$54</definedName>
    <definedName name="_xlnm.Print_Area" localSheetId="0">'Indice'!$A$1:$B$23</definedName>
    <definedName name="_xlnm.Print_Area" localSheetId="1">'Información Sistema'!$B$3:$F$75</definedName>
  </definedNames>
  <calcPr fullCalcOnLoad="1"/>
</workbook>
</file>

<file path=xl/sharedStrings.xml><?xml version="1.0" encoding="utf-8"?>
<sst xmlns="http://schemas.openxmlformats.org/spreadsheetml/2006/main" count="456" uniqueCount="264">
  <si>
    <t>Colocaciones</t>
  </si>
  <si>
    <t>Capital y</t>
  </si>
  <si>
    <t>totales</t>
  </si>
  <si>
    <t>reservas</t>
  </si>
  <si>
    <t>final</t>
  </si>
  <si>
    <t>Bice</t>
  </si>
  <si>
    <t>Corpbanca</t>
  </si>
  <si>
    <t>De Chile</t>
  </si>
  <si>
    <t>Del Desarrollo</t>
  </si>
  <si>
    <t>Internacional</t>
  </si>
  <si>
    <t>Santander-Chile</t>
  </si>
  <si>
    <t>Falabella</t>
  </si>
  <si>
    <t>Citibank N.A.</t>
  </si>
  <si>
    <t>Do Brasil S.A.</t>
  </si>
  <si>
    <t>De la Nación Argentina</t>
  </si>
  <si>
    <t>Sistema Financiero</t>
  </si>
  <si>
    <t>Bancos establecidos en Chile</t>
  </si>
  <si>
    <t xml:space="preserve">     </t>
  </si>
  <si>
    <t xml:space="preserve">       </t>
  </si>
  <si>
    <t>.</t>
  </si>
  <si>
    <t>Instituciones</t>
  </si>
  <si>
    <t>Scotiabank Sud Americano</t>
  </si>
  <si>
    <t>Ripley</t>
  </si>
  <si>
    <t>Sucursales de bancos extranjeros</t>
  </si>
  <si>
    <t>HNS Banco</t>
  </si>
  <si>
    <t>Bilbao Vizcaya Argentaria, Chile</t>
  </si>
  <si>
    <t>Monex</t>
  </si>
  <si>
    <t>Memo:</t>
  </si>
  <si>
    <t>ABN  Amro Bank (Chile)</t>
  </si>
  <si>
    <t>HSBC Bank (Chile)</t>
  </si>
  <si>
    <t>Penta</t>
  </si>
  <si>
    <t>Deutsche Bank (Chile)</t>
  </si>
  <si>
    <t>Security</t>
  </si>
  <si>
    <t>JP Morgan Chase Bank, N.A.</t>
  </si>
  <si>
    <t>BankBoston, N.A.</t>
  </si>
  <si>
    <t>Of Tokyo-Mitsubishi Ltd.</t>
  </si>
  <si>
    <t>Consumo</t>
  </si>
  <si>
    <t>vencidas</t>
  </si>
  <si>
    <t xml:space="preserve">Depósitos </t>
  </si>
  <si>
    <t>Comisiones</t>
  </si>
  <si>
    <t>netas</t>
  </si>
  <si>
    <t>castigadas</t>
  </si>
  <si>
    <t>Recuperac. de</t>
  </si>
  <si>
    <t>Otros</t>
  </si>
  <si>
    <t>Resultado</t>
  </si>
  <si>
    <t>operacional</t>
  </si>
  <si>
    <t>bruto</t>
  </si>
  <si>
    <t>Gastos de</t>
  </si>
  <si>
    <t>apoyo</t>
  </si>
  <si>
    <t>Gasto en provisiones</t>
  </si>
  <si>
    <t>Gasto en</t>
  </si>
  <si>
    <t>provisiones</t>
  </si>
  <si>
    <t>neto</t>
  </si>
  <si>
    <t>netos</t>
  </si>
  <si>
    <t>ingresos</t>
  </si>
  <si>
    <t xml:space="preserve">antes de </t>
  </si>
  <si>
    <t>impuestos</t>
  </si>
  <si>
    <t>más difer.</t>
  </si>
  <si>
    <t>de cambio net.</t>
  </si>
  <si>
    <t>Marg. de inter.</t>
  </si>
  <si>
    <t>Notas:</t>
  </si>
  <si>
    <t>Inversiones</t>
  </si>
  <si>
    <t>Activos</t>
  </si>
  <si>
    <t>contingentes</t>
  </si>
  <si>
    <t>BALANCE</t>
  </si>
  <si>
    <t>Monto</t>
  </si>
  <si>
    <t>MM$</t>
  </si>
  <si>
    <t>mes anterior</t>
  </si>
  <si>
    <t>12 meses</t>
  </si>
  <si>
    <t xml:space="preserve">Colocaciones totales  </t>
  </si>
  <si>
    <t>Inversiones totales</t>
  </si>
  <si>
    <t>Activos totales</t>
  </si>
  <si>
    <t>Depósitos totales</t>
  </si>
  <si>
    <t>Capital y reservas</t>
  </si>
  <si>
    <t>Colocaciones contingentes</t>
  </si>
  <si>
    <t>Contratos de leasing totales</t>
  </si>
  <si>
    <t>Colocaciones vencidas</t>
  </si>
  <si>
    <t>Colocaciones totales netas de contingentes</t>
  </si>
  <si>
    <t>ESTADO DE RESULTADOS</t>
  </si>
  <si>
    <t>Monto acumul.</t>
  </si>
  <si>
    <t>Comisiones netas</t>
  </si>
  <si>
    <t>Otros ingresos de operación netos</t>
  </si>
  <si>
    <t>Resultado operacional bruto</t>
  </si>
  <si>
    <t>Gastos de apoyo operacional</t>
  </si>
  <si>
    <t>Resultado operacional neto</t>
  </si>
  <si>
    <t>Resultado final</t>
  </si>
  <si>
    <t>Riesgo</t>
  </si>
  <si>
    <t>Colocaciones totales</t>
  </si>
  <si>
    <t>Provisiones de coloc.</t>
  </si>
  <si>
    <t>Coloc. vencidas</t>
  </si>
  <si>
    <t>Eficiencia</t>
  </si>
  <si>
    <t>(Cifras en millones de pesos)</t>
  </si>
  <si>
    <t>(Cifras en porcentajes)</t>
  </si>
  <si>
    <t>Operaciones de factoraje</t>
  </si>
  <si>
    <t>Impuestos</t>
  </si>
  <si>
    <t>Personas</t>
  </si>
  <si>
    <t>Totales</t>
  </si>
  <si>
    <t>Empresas</t>
  </si>
  <si>
    <t>en socied.</t>
  </si>
  <si>
    <t>Resultado antes de impuestos</t>
  </si>
  <si>
    <t xml:space="preserve">   - Personas</t>
  </si>
  <si>
    <t xml:space="preserve">   - Empresas</t>
  </si>
  <si>
    <t xml:space="preserve"> - Depósitos a plazo</t>
  </si>
  <si>
    <t>Fuente: Superintendencia de Bancos e Instituciones Financieras (Chile)</t>
  </si>
  <si>
    <t>Otros ingresos netos</t>
  </si>
  <si>
    <t>Plazo</t>
  </si>
  <si>
    <t>Vivienda</t>
  </si>
  <si>
    <t>París</t>
  </si>
  <si>
    <t xml:space="preserve">París </t>
  </si>
  <si>
    <t>Gastos de apoyo op.</t>
  </si>
  <si>
    <t>Antes de imptos.</t>
  </si>
  <si>
    <t>Después de imptos.</t>
  </si>
  <si>
    <t xml:space="preserve"> Activos totales</t>
  </si>
  <si>
    <t>Result. operc. bruto</t>
  </si>
  <si>
    <t>Definiciones</t>
  </si>
  <si>
    <t>Obligaciones con el exterior</t>
  </si>
  <si>
    <t>Instrumentos de deuda emitidos</t>
  </si>
  <si>
    <t xml:space="preserve"> - Letras de crédito</t>
  </si>
  <si>
    <t xml:space="preserve"> - Bonos ordinarios</t>
  </si>
  <si>
    <t xml:space="preserve"> - Bonos subordinados</t>
  </si>
  <si>
    <t>Instrumentos</t>
  </si>
  <si>
    <t>de deuda</t>
  </si>
  <si>
    <t>emitidos</t>
  </si>
  <si>
    <t xml:space="preserve">        - Comerciales</t>
  </si>
  <si>
    <t xml:space="preserve">        - Comercio exterior</t>
  </si>
  <si>
    <t xml:space="preserve">        - Interbancarias</t>
  </si>
  <si>
    <t xml:space="preserve">        - Consumo</t>
  </si>
  <si>
    <t xml:space="preserve">        - Vivienda</t>
  </si>
  <si>
    <t>Castigos del ejercicio</t>
  </si>
  <si>
    <t>Castigos</t>
  </si>
  <si>
    <t>del</t>
  </si>
  <si>
    <t>ejercicio</t>
  </si>
  <si>
    <t xml:space="preserve"> - Depósitos vista netos de canje</t>
  </si>
  <si>
    <t>Variación real respecto a: (%)</t>
  </si>
  <si>
    <t>mes anterior (1)</t>
  </si>
  <si>
    <t>12 meses (2)</t>
  </si>
  <si>
    <t>(2) Corresponde a la variación real entre los resultados acumulados a la fecha y los obtenidos a igual fecha del año anterior.</t>
  </si>
  <si>
    <t>Variación real respecto a:(%)</t>
  </si>
  <si>
    <t>Vista netos</t>
  </si>
  <si>
    <t>de canje</t>
  </si>
  <si>
    <t>(1) A partir de enero de 2004 esta institución es propietaria en un 99% de Banco Conosur. Por lo tanto, su situación financiera se presenta consolidada con Banco Conosur.</t>
  </si>
  <si>
    <t>De Crédito e Inversiones   (2)</t>
  </si>
  <si>
    <t>Conosur                            (2)</t>
  </si>
  <si>
    <t>Del Estado de Chile</t>
  </si>
  <si>
    <t>De Crédito e Inversiones    (1)</t>
  </si>
  <si>
    <t>(3) El deflactor utilizado corresponde a la unidad de fomento (UF).</t>
  </si>
  <si>
    <t>(1) Corresponde a la variación real entre los resultados del mes, respecto de los registrados durante el mes anterior.</t>
  </si>
  <si>
    <t>Conosur                             (2)</t>
  </si>
  <si>
    <t>De Crédito e Inversiones    (2)</t>
  </si>
  <si>
    <t>Actividad (variación en doce meses)  (3)</t>
  </si>
  <si>
    <t>Rentabilidad s/Capital y reservas  (4)</t>
  </si>
  <si>
    <t>(4) Los porcentajes de rentabilidad se determinan anualizando las cifras de resultados (dividiendo estos últimos por el número de meses transcurridos y luego multiplicándolos por doce).</t>
  </si>
  <si>
    <t>Del Estado de Chile    (5)</t>
  </si>
  <si>
    <t>Para Imprimir: Control+P</t>
  </si>
  <si>
    <t>Para Guardar: F12</t>
  </si>
  <si>
    <t>PRINCIPALES ACTIVOS, PASIVOS Y RESULTADOS</t>
  </si>
  <si>
    <t>DEL SISTEMA FINANCIERO CHILENO</t>
  </si>
  <si>
    <t>Bancos</t>
  </si>
  <si>
    <t>Principales Activos, Pasivos y Resultados del Sistema Financiero</t>
  </si>
  <si>
    <t>Indicadores por Instituciones</t>
  </si>
  <si>
    <t>Volver</t>
  </si>
  <si>
    <t>Definiciones usadas en este documento</t>
  </si>
  <si>
    <t>Principales Activos y Pasivos por Instituciones</t>
  </si>
  <si>
    <t>Estado de Resultado por Instituciones</t>
  </si>
  <si>
    <t>Concepto</t>
  </si>
  <si>
    <t>N° de Partida o de cuenta</t>
  </si>
  <si>
    <t xml:space="preserve">   Ptmos. comerciales (hasta 1 año)</t>
  </si>
  <si>
    <t xml:space="preserve"> + 1350 001</t>
  </si>
  <si>
    <t xml:space="preserve"> + 1350 004</t>
  </si>
  <si>
    <t xml:space="preserve"> + 1350 007</t>
  </si>
  <si>
    <t xml:space="preserve"> + 1421 001</t>
  </si>
  <si>
    <t xml:space="preserve"> + 1350 999</t>
  </si>
  <si>
    <t>+ Dividendos hipot. reprogramados</t>
  </si>
  <si>
    <t>Colocaciones comerciales</t>
  </si>
  <si>
    <t>Colocaciones de comercio exterior</t>
  </si>
  <si>
    <t xml:space="preserve">   Créditos importación (hasta 1 año)</t>
  </si>
  <si>
    <t>Colocaciones interbancarias</t>
  </si>
  <si>
    <t xml:space="preserve">   Ptmos. a instituciones financieras (hasta 1 año)</t>
  </si>
  <si>
    <t>Colocaciones a Personas</t>
  </si>
  <si>
    <t>Ptmos. de consumo (hasta 1 año)</t>
  </si>
  <si>
    <t xml:space="preserve"> + 1350 002</t>
  </si>
  <si>
    <t xml:space="preserve"> + 1350 005</t>
  </si>
  <si>
    <t xml:space="preserve"> + 1350 008</t>
  </si>
  <si>
    <t xml:space="preserve"> + 1421 002</t>
  </si>
  <si>
    <t>+ Ptmos. hipot. endosables para vivienda</t>
  </si>
  <si>
    <t xml:space="preserve"> + 1350 003</t>
  </si>
  <si>
    <t xml:space="preserve"> + 1350 006</t>
  </si>
  <si>
    <t xml:space="preserve"> + 1350 009</t>
  </si>
  <si>
    <t xml:space="preserve"> + 1421 003</t>
  </si>
  <si>
    <t xml:space="preserve">   Créditos hipotecarios para vivienda</t>
  </si>
  <si>
    <t>1705 a 1775</t>
  </si>
  <si>
    <t xml:space="preserve">   Total activo contable</t>
  </si>
  <si>
    <t>1005 a 2525</t>
  </si>
  <si>
    <t xml:space="preserve">   Acreedores en cuentas corrientes</t>
  </si>
  <si>
    <t>Depósitos a plazo</t>
  </si>
  <si>
    <t>Ptmos. y otras obligaciones con el exterior</t>
  </si>
  <si>
    <t>3505 a 3570</t>
  </si>
  <si>
    <t>3305 a 3315</t>
  </si>
  <si>
    <t xml:space="preserve"> + Bonos subordinados</t>
  </si>
  <si>
    <t>Letras de crédito</t>
  </si>
  <si>
    <t>Bonos ordinarios</t>
  </si>
  <si>
    <t>Bonos subordinados</t>
  </si>
  <si>
    <t>4305 a 4405</t>
  </si>
  <si>
    <t>1401 a 1421</t>
  </si>
  <si>
    <t xml:space="preserve">   Contratos de leasing</t>
  </si>
  <si>
    <t xml:space="preserve">   Operaciones de factoraje</t>
  </si>
  <si>
    <t>Margen de intereses más diferencias de cambio netas</t>
  </si>
  <si>
    <t xml:space="preserve">   Intereses percibidos y devengados</t>
  </si>
  <si>
    <t>7105 a 7200</t>
  </si>
  <si>
    <t>7305 a 7400</t>
  </si>
  <si>
    <t xml:space="preserve"> - 5105 a 5200</t>
  </si>
  <si>
    <t>7705 a 7710</t>
  </si>
  <si>
    <t>7505 a 7530</t>
  </si>
  <si>
    <t>Recuperación de colocaciones castigadas</t>
  </si>
  <si>
    <t>Recuperación de colocaciones e inversiones castigadas</t>
  </si>
  <si>
    <t xml:space="preserve"> + 6110 023 a 6110 026</t>
  </si>
  <si>
    <t>Otros ingresos  de operación netos</t>
  </si>
  <si>
    <t xml:space="preserve">  Utilidades por diferencias de precio</t>
  </si>
  <si>
    <t>7605 a 7650</t>
  </si>
  <si>
    <t xml:space="preserve">   Margen de intereses más diferencias de cambio</t>
  </si>
  <si>
    <t>6205 a 6290</t>
  </si>
  <si>
    <t xml:space="preserve">   Provisiones y castigos por activos</t>
  </si>
  <si>
    <t>6110 a 6140</t>
  </si>
  <si>
    <t xml:space="preserve"> - Recuperación de colocaciones castigadas</t>
  </si>
  <si>
    <t xml:space="preserve"> - 6110 023 a 6110 026</t>
  </si>
  <si>
    <t xml:space="preserve">  Resultado operacional bruto</t>
  </si>
  <si>
    <t>Utilidades de inversiones en sociedades y de sucurs. en el exterior</t>
  </si>
  <si>
    <t xml:space="preserve">  Ingresos por inversión en sociedades</t>
  </si>
  <si>
    <t>sucursales en el exterior</t>
  </si>
  <si>
    <t xml:space="preserve">   Resultado operacional neto</t>
  </si>
  <si>
    <t>Ingresos no operacionales</t>
  </si>
  <si>
    <t>8305 a 8315</t>
  </si>
  <si>
    <t xml:space="preserve"> + recuperación de gastos</t>
  </si>
  <si>
    <t xml:space="preserve">   y de sucursales en el exterior</t>
  </si>
  <si>
    <t>Impuesto a la renta</t>
  </si>
  <si>
    <t xml:space="preserve">   Resultado antes de impuestos</t>
  </si>
  <si>
    <t>Result. oper. neto después util. de invers. en soc. y suc. ext.</t>
  </si>
  <si>
    <t>Util. de invers.</t>
  </si>
  <si>
    <t>Res. op. neto</t>
  </si>
  <si>
    <t>colocaciones</t>
  </si>
  <si>
    <t>desp. ut. inv. en</t>
  </si>
  <si>
    <t>y suc. ext.</t>
  </si>
  <si>
    <t>soc. y suc. exter.</t>
  </si>
  <si>
    <t>(2) Corresponde a la situación financiera individual de los bancos Conosur y De Crédito e Inversiones.  Este último incluye el capital y reservas, el excedente antes de impuestos y la utilidad final de Banco Conosur.</t>
  </si>
  <si>
    <t>ingresos de</t>
  </si>
  <si>
    <t>operación netos</t>
  </si>
  <si>
    <t>Colocaciones a Empresas</t>
  </si>
  <si>
    <t>Colocaciones de consumo</t>
  </si>
  <si>
    <t>Colocaciones de vivienda</t>
  </si>
  <si>
    <t>Depósitos a la vista netos de canje</t>
  </si>
  <si>
    <t>Utilidades de inversiones en sociedades y de sucursales en el exterior</t>
  </si>
  <si>
    <t>Resultado operacional neto después de util. de inversión en sociedades y</t>
  </si>
  <si>
    <t xml:space="preserve">   Resultado operacional neto después de util. de invers. en sociedades</t>
  </si>
  <si>
    <t>1110 a 1660</t>
  </si>
  <si>
    <t>1110 a 1421</t>
  </si>
  <si>
    <t>dic'2004</t>
  </si>
  <si>
    <t>---</t>
  </si>
  <si>
    <t>Reporte de Información Financiera Mensual - Mayo de 2005</t>
  </si>
  <si>
    <t xml:space="preserve"> AL MES DE MAYO DE 2005 </t>
  </si>
  <si>
    <t>PRINCIPALES ACTIVOS Y PASIVOS POR INSTITUCIONES AL MES DE MAYO DE 2005</t>
  </si>
  <si>
    <t>ESTRUCTURA DEL ESTADO DE RESULTADOS POR INSTITUCIONES AL MES DE MAYO DE 2005</t>
  </si>
  <si>
    <t>INDICADORES POR INSTITUCIONES AL MES DE MAYO DE 2005</t>
  </si>
  <si>
    <t>(3) Las variaciones son reales y usan como deflactor la unidad de fomento (UF).</t>
  </si>
  <si>
    <t>(5) Esta institución está afecta a un régimen impositivo distinto que el del resto de la banca.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</si>
</sst>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_);\(#,##0&quot;Pts&quot;\)"/>
    <numFmt numFmtId="173" formatCode="#,##0&quot;Pts&quot;_);[Red]\(#,##0&quot;Pts&quot;\)"/>
    <numFmt numFmtId="174" formatCode="#,##0.00&quot;Pts&quot;_);\(#,##0.00&quot;Pts&quot;\)"/>
    <numFmt numFmtId="175" formatCode="#,##0.00&quot;Pts&quot;_);[Red]\(#,##0.00&quot;Pts&quot;\)"/>
    <numFmt numFmtId="176" formatCode="_ * #,##0_)&quot;Pts&quot;_ ;_ * \(#,##0\)&quot;Pts&quot;_ ;_ * &quot;-&quot;_)&quot;Pts&quot;_ ;_ @_ "/>
    <numFmt numFmtId="177" formatCode="_ * #,##0_)_P_t_s_ ;_ * \(#,##0\)_P_t_s_ ;_ * &quot;-&quot;_)_P_t_s_ ;_ @_ "/>
    <numFmt numFmtId="178" formatCode="_ * #,##0.00_)&quot;Pts&quot;_ ;_ * \(#,##0.00\)&quot;Pts&quot;_ ;_ * &quot;-&quot;??_)&quot;Pts&quot;_ ;_ @_ "/>
    <numFmt numFmtId="179" formatCode="_ * #,##0.00_)_P_t_s_ ;_ * \(#,##0.00\)_P_t_s_ ;_ * &quot;-&quot;??_)_P_t_s_ ;_ @_ "/>
    <numFmt numFmtId="180" formatCode="0.0%"/>
    <numFmt numFmtId="181" formatCode="0.000%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#,##0.0"/>
    <numFmt numFmtId="188" formatCode="0.0"/>
    <numFmt numFmtId="189" formatCode="\+\ General"/>
    <numFmt numFmtId="190" formatCode="\-\ General"/>
  </numFmts>
  <fonts count="21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21"/>
      <name val="Arial"/>
      <family val="2"/>
    </font>
    <font>
      <b/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4" fontId="9" fillId="2" borderId="0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2" fontId="11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2" fontId="10" fillId="2" borderId="8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0" fontId="13" fillId="2" borderId="0" xfId="0" applyNumberFormat="1" applyFont="1" applyFill="1" applyAlignment="1">
      <alignment/>
    </xf>
    <xf numFmtId="3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top"/>
    </xf>
    <xf numFmtId="10" fontId="8" fillId="2" borderId="8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2" fontId="11" fillId="2" borderId="1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3" fontId="10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8" fillId="2" borderId="19" xfId="0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 quotePrefix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0" fillId="2" borderId="16" xfId="0" applyNumberFormat="1" applyFont="1" applyFill="1" applyBorder="1" applyAlignment="1" quotePrefix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>
      <alignment horizontal="center"/>
    </xf>
    <xf numFmtId="4" fontId="10" fillId="2" borderId="19" xfId="0" applyNumberFormat="1" applyFont="1" applyFill="1" applyBorder="1" applyAlignment="1" quotePrefix="1">
      <alignment horizontal="center"/>
    </xf>
    <xf numFmtId="180" fontId="10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2" borderId="0" xfId="15" applyFont="1" applyFill="1" applyAlignment="1">
      <alignment/>
    </xf>
    <xf numFmtId="0" fontId="18" fillId="2" borderId="0" xfId="15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2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4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89" fontId="10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/>
    </xf>
    <xf numFmtId="189" fontId="11" fillId="2" borderId="0" xfId="0" applyNumberFormat="1" applyFont="1" applyFill="1" applyBorder="1" applyAlignment="1">
      <alignment horizontal="right"/>
    </xf>
    <xf numFmtId="190" fontId="10" fillId="2" borderId="16" xfId="0" applyNumberFormat="1" applyFont="1" applyFill="1" applyBorder="1" applyAlignment="1">
      <alignment horizontal="right"/>
    </xf>
    <xf numFmtId="189" fontId="10" fillId="2" borderId="14" xfId="0" applyNumberFormat="1" applyFont="1" applyFill="1" applyBorder="1" applyAlignment="1">
      <alignment/>
    </xf>
    <xf numFmtId="190" fontId="10" fillId="2" borderId="14" xfId="0" applyNumberFormat="1" applyFont="1" applyFill="1" applyBorder="1" applyAlignment="1">
      <alignment/>
    </xf>
    <xf numFmtId="189" fontId="10" fillId="2" borderId="16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189" fontId="10" fillId="2" borderId="12" xfId="0" applyNumberFormat="1" applyFont="1" applyFill="1" applyBorder="1" applyAlignment="1">
      <alignment/>
    </xf>
    <xf numFmtId="190" fontId="10" fillId="2" borderId="16" xfId="0" applyNumberFormat="1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6" xfId="0" applyNumberFormat="1" applyFont="1" applyFill="1" applyBorder="1" applyAlignment="1">
      <alignment/>
    </xf>
    <xf numFmtId="0" fontId="10" fillId="2" borderId="12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3" fontId="10" fillId="2" borderId="16" xfId="0" applyNumberFormat="1" applyFont="1" applyFill="1" applyBorder="1" applyAlignment="1">
      <alignment horizontal="right"/>
    </xf>
    <xf numFmtId="0" fontId="20" fillId="2" borderId="23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190" fontId="20" fillId="2" borderId="14" xfId="0" applyNumberFormat="1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0" fillId="2" borderId="16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 quotePrefix="1">
      <alignment horizontal="center"/>
    </xf>
    <xf numFmtId="2" fontId="10" fillId="2" borderId="7" xfId="0" applyNumberFormat="1" applyFont="1" applyFill="1" applyBorder="1" applyAlignment="1" quotePrefix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2" fontId="10" fillId="2" borderId="10" xfId="0" applyNumberFormat="1" applyFont="1" applyFill="1" applyBorder="1" applyAlignment="1" quotePrefix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104775</xdr:rowOff>
    </xdr:from>
    <xdr:to>
      <xdr:col>0</xdr:col>
      <xdr:colOff>1438275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66675</xdr:rowOff>
    </xdr:from>
    <xdr:to>
      <xdr:col>1</xdr:col>
      <xdr:colOff>1181100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133350</xdr:rowOff>
    </xdr:from>
    <xdr:to>
      <xdr:col>0</xdr:col>
      <xdr:colOff>1314450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0</xdr:col>
      <xdr:colOff>1590675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66675</xdr:rowOff>
    </xdr:from>
    <xdr:to>
      <xdr:col>0</xdr:col>
      <xdr:colOff>1419225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052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0</xdr:rowOff>
    </xdr:from>
    <xdr:to>
      <xdr:col>0</xdr:col>
      <xdr:colOff>1438275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2.625" style="3" customWidth="1"/>
    <col min="2" max="2" width="77.875" style="3" customWidth="1"/>
    <col min="3" max="16384" width="12.00390625" style="3" customWidth="1"/>
  </cols>
  <sheetData>
    <row r="2" ht="12.75"/>
    <row r="3" ht="12.75"/>
    <row r="4" ht="12.75"/>
    <row r="5" ht="12.75"/>
    <row r="6" ht="15.75">
      <c r="B6" s="111" t="s">
        <v>257</v>
      </c>
    </row>
    <row r="9" ht="12.75">
      <c r="B9" s="112" t="s">
        <v>15</v>
      </c>
    </row>
    <row r="11" ht="12.75">
      <c r="B11" s="113" t="s">
        <v>158</v>
      </c>
    </row>
    <row r="13" ht="12.75">
      <c r="B13" s="112" t="s">
        <v>157</v>
      </c>
    </row>
    <row r="15" ht="12.75">
      <c r="B15" s="113" t="s">
        <v>162</v>
      </c>
    </row>
    <row r="17" ht="12.75">
      <c r="B17" s="113" t="s">
        <v>163</v>
      </c>
    </row>
    <row r="19" ht="12.75">
      <c r="B19" s="113" t="s">
        <v>159</v>
      </c>
    </row>
    <row r="21" ht="12.75">
      <c r="B21" s="113" t="s">
        <v>161</v>
      </c>
    </row>
  </sheetData>
  <hyperlinks>
    <hyperlink ref="B11" location="'Información Sistema'!A1" display="Principales Activos, Pasivos y Resultados del Sistema Financiero"/>
    <hyperlink ref="B15" location="'Activos-Pasivos Bancos'!A1" display="Principales activos y pasivos por instituciones"/>
    <hyperlink ref="B17" location="'Estado Resultados Bancos'!A1" display="Estado de resultado por Instituciones"/>
    <hyperlink ref="B19" location="'Indicadores Bancos'!A1" display="Indicadores por Instituciones"/>
    <hyperlink ref="B21" location="'Definiciones Usadas'!A1" display="Definiciones usadas en este documento"/>
  </hyperlinks>
  <printOptions/>
  <pageMargins left="0.75" right="0.75" top="1" bottom="1" header="0" footer="0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">
      <selection activeCell="F1" sqref="F1"/>
    </sheetView>
  </sheetViews>
  <sheetFormatPr defaultColWidth="11.00390625" defaultRowHeight="12.75"/>
  <cols>
    <col min="1" max="1" width="12.00390625" style="3" customWidth="1"/>
    <col min="2" max="2" width="68.875" style="3" customWidth="1"/>
    <col min="3" max="3" width="16.875" style="3" customWidth="1"/>
    <col min="4" max="4" width="18.00390625" style="3" bestFit="1" customWidth="1"/>
    <col min="5" max="6" width="16.875" style="3" customWidth="1"/>
    <col min="7" max="16384" width="12.00390625" style="3" customWidth="1"/>
  </cols>
  <sheetData>
    <row r="1" spans="1:6" ht="12.75">
      <c r="A1" s="110" t="s">
        <v>153</v>
      </c>
      <c r="F1" s="114" t="s">
        <v>160</v>
      </c>
    </row>
    <row r="2" ht="12.75">
      <c r="A2" s="110" t="s">
        <v>154</v>
      </c>
    </row>
    <row r="3" spans="1:6" ht="15.75">
      <c r="A3" s="110"/>
      <c r="B3" s="177" t="s">
        <v>155</v>
      </c>
      <c r="C3" s="177"/>
      <c r="D3" s="177"/>
      <c r="E3" s="177"/>
      <c r="F3" s="177"/>
    </row>
    <row r="4" spans="2:6" ht="15.75">
      <c r="B4" s="177" t="s">
        <v>156</v>
      </c>
      <c r="C4" s="177"/>
      <c r="D4" s="177"/>
      <c r="E4" s="177"/>
      <c r="F4" s="177"/>
    </row>
    <row r="5" spans="2:6" ht="15.75">
      <c r="B5" s="1" t="s">
        <v>258</v>
      </c>
      <c r="C5" s="4"/>
      <c r="D5" s="2"/>
      <c r="E5" s="2"/>
      <c r="F5" s="5"/>
    </row>
    <row r="6" spans="2:6" ht="12" customHeight="1">
      <c r="B6" s="1"/>
      <c r="C6" s="4"/>
      <c r="D6" s="2"/>
      <c r="E6" s="2"/>
      <c r="F6" s="5"/>
    </row>
    <row r="7" spans="2:6" ht="12.75">
      <c r="B7" s="180" t="s">
        <v>64</v>
      </c>
      <c r="C7" s="181"/>
      <c r="D7" s="181"/>
      <c r="E7" s="181"/>
      <c r="F7" s="182"/>
    </row>
    <row r="8" spans="2:6" ht="9" customHeight="1">
      <c r="B8" s="6"/>
      <c r="C8" s="6"/>
      <c r="D8" s="6"/>
      <c r="E8" s="6"/>
      <c r="F8" s="6"/>
    </row>
    <row r="9" spans="2:6" ht="12.75">
      <c r="B9" s="7"/>
      <c r="C9" s="8" t="s">
        <v>65</v>
      </c>
      <c r="D9" s="9" t="s">
        <v>137</v>
      </c>
      <c r="E9" s="10"/>
      <c r="F9" s="11"/>
    </row>
    <row r="10" spans="2:6" ht="12.75">
      <c r="B10" s="12"/>
      <c r="C10" s="13" t="s">
        <v>66</v>
      </c>
      <c r="D10" s="14" t="s">
        <v>67</v>
      </c>
      <c r="E10" s="14" t="s">
        <v>255</v>
      </c>
      <c r="F10" s="14" t="s">
        <v>68</v>
      </c>
    </row>
    <row r="11" spans="2:6" ht="9" customHeight="1">
      <c r="B11" s="15"/>
      <c r="C11" s="16"/>
      <c r="D11" s="17"/>
      <c r="E11" s="17"/>
      <c r="F11" s="17"/>
    </row>
    <row r="12" spans="2:6" ht="12.75">
      <c r="B12" s="18" t="s">
        <v>69</v>
      </c>
      <c r="C12" s="19">
        <v>40760515.1769</v>
      </c>
      <c r="D12" s="20">
        <v>0.517518816261009</v>
      </c>
      <c r="E12" s="20">
        <v>7.17973445992094</v>
      </c>
      <c r="F12" s="20">
        <v>12.4152110441713</v>
      </c>
    </row>
    <row r="13" spans="2:6" ht="12.75">
      <c r="B13" s="21" t="s">
        <v>101</v>
      </c>
      <c r="C13" s="22">
        <v>27966469.4178</v>
      </c>
      <c r="D13" s="23">
        <v>0.504906969326385</v>
      </c>
      <c r="E13" s="23">
        <v>7.85260444814366</v>
      </c>
      <c r="F13" s="23">
        <v>9.5561038145249</v>
      </c>
    </row>
    <row r="14" spans="2:6" ht="12.75">
      <c r="B14" s="24" t="s">
        <v>123</v>
      </c>
      <c r="C14" s="25">
        <v>23239835.8822</v>
      </c>
      <c r="D14" s="26">
        <v>0.125397952425176</v>
      </c>
      <c r="E14" s="26">
        <v>5.44922941437302</v>
      </c>
      <c r="F14" s="26">
        <v>9.75095840768994</v>
      </c>
    </row>
    <row r="15" spans="2:6" ht="12.75">
      <c r="B15" s="24" t="s">
        <v>124</v>
      </c>
      <c r="C15" s="25">
        <v>4009280.7382</v>
      </c>
      <c r="D15" s="26">
        <v>2.69919405999781</v>
      </c>
      <c r="E15" s="26">
        <v>17.7388717072756</v>
      </c>
      <c r="F15" s="26">
        <v>5.61049428189206</v>
      </c>
    </row>
    <row r="16" spans="2:6" ht="12.75">
      <c r="B16" s="24" t="s">
        <v>125</v>
      </c>
      <c r="C16" s="25">
        <v>717352.7974</v>
      </c>
      <c r="D16" s="26">
        <v>0.845658451534917</v>
      </c>
      <c r="E16" s="26">
        <v>47.557767371337</v>
      </c>
      <c r="F16" s="26">
        <v>29.0849935509753</v>
      </c>
    </row>
    <row r="17" spans="2:6" ht="12.75">
      <c r="B17" s="21" t="s">
        <v>100</v>
      </c>
      <c r="C17" s="22">
        <v>12794045.7585</v>
      </c>
      <c r="D17" s="23">
        <v>0.545098043721082</v>
      </c>
      <c r="E17" s="23">
        <v>5.73775082126119</v>
      </c>
      <c r="F17" s="23">
        <v>19.2159810073877</v>
      </c>
    </row>
    <row r="18" spans="2:6" ht="12.75">
      <c r="B18" s="24" t="s">
        <v>126</v>
      </c>
      <c r="C18" s="25">
        <v>4736611.4177</v>
      </c>
      <c r="D18" s="26">
        <v>-0.0145757890691979</v>
      </c>
      <c r="E18" s="26">
        <v>7.6293032628163</v>
      </c>
      <c r="F18" s="26">
        <v>19.2009137934877</v>
      </c>
    </row>
    <row r="19" spans="2:6" ht="12.75">
      <c r="B19" s="24" t="s">
        <v>127</v>
      </c>
      <c r="C19" s="25">
        <v>8057434.3408</v>
      </c>
      <c r="D19" s="26">
        <v>0.877039595305332</v>
      </c>
      <c r="E19" s="26">
        <v>4.65650345979447</v>
      </c>
      <c r="F19" s="26">
        <v>19.2248401379082</v>
      </c>
    </row>
    <row r="20" spans="2:6" ht="9" customHeight="1">
      <c r="B20" s="24"/>
      <c r="C20" s="25"/>
      <c r="D20" s="26"/>
      <c r="E20" s="26"/>
      <c r="F20" s="26"/>
    </row>
    <row r="21" spans="2:6" ht="12.75">
      <c r="B21" s="21" t="s">
        <v>70</v>
      </c>
      <c r="C21" s="22">
        <v>9342718.3129</v>
      </c>
      <c r="D21" s="23">
        <v>3.29543661098597</v>
      </c>
      <c r="E21" s="23">
        <v>-0.229002246820054</v>
      </c>
      <c r="F21" s="23">
        <v>-2.97921295854728</v>
      </c>
    </row>
    <row r="22" spans="2:6" ht="12.75">
      <c r="B22" s="24"/>
      <c r="C22" s="25"/>
      <c r="D22" s="26"/>
      <c r="E22" s="26"/>
      <c r="F22" s="26"/>
    </row>
    <row r="23" spans="2:6" ht="12.75">
      <c r="B23" s="27" t="s">
        <v>71</v>
      </c>
      <c r="C23" s="28">
        <v>58035417.4807</v>
      </c>
      <c r="D23" s="29">
        <v>-0.553782289277606</v>
      </c>
      <c r="E23" s="29">
        <v>7.8173735873996</v>
      </c>
      <c r="F23" s="29">
        <v>11.4887293250531</v>
      </c>
    </row>
    <row r="24" spans="2:6" ht="9" customHeight="1">
      <c r="B24" s="30"/>
      <c r="C24" s="31"/>
      <c r="D24" s="32"/>
      <c r="E24" s="32"/>
      <c r="F24" s="32"/>
    </row>
    <row r="25" spans="2:6" ht="12.75">
      <c r="B25" s="18" t="s">
        <v>72</v>
      </c>
      <c r="C25" s="19">
        <v>33079835.7834</v>
      </c>
      <c r="D25" s="20">
        <v>0.944200472942514</v>
      </c>
      <c r="E25" s="20">
        <v>13.39483671785</v>
      </c>
      <c r="F25" s="20">
        <v>18.5413552753452</v>
      </c>
    </row>
    <row r="26" spans="2:6" ht="12.75">
      <c r="B26" s="24" t="s">
        <v>132</v>
      </c>
      <c r="C26" s="25">
        <v>7544913.9887</v>
      </c>
      <c r="D26" s="26">
        <v>-4.59934712197188</v>
      </c>
      <c r="E26" s="26">
        <v>1.8571604128549</v>
      </c>
      <c r="F26" s="26">
        <v>10.6838766504406</v>
      </c>
    </row>
    <row r="27" spans="2:6" ht="12.75">
      <c r="B27" s="24" t="s">
        <v>102</v>
      </c>
      <c r="C27" s="25">
        <v>25534921.7947</v>
      </c>
      <c r="D27" s="26">
        <v>2.70763328195335</v>
      </c>
      <c r="E27" s="26">
        <v>11.5376763049951</v>
      </c>
      <c r="F27" s="26">
        <v>21.0811292606713</v>
      </c>
    </row>
    <row r="28" spans="2:6" ht="9" customHeight="1">
      <c r="B28" s="24"/>
      <c r="C28" s="25"/>
      <c r="D28" s="26"/>
      <c r="E28" s="26"/>
      <c r="F28" s="26"/>
    </row>
    <row r="29" spans="2:6" ht="12.75">
      <c r="B29" s="21" t="s">
        <v>115</v>
      </c>
      <c r="C29" s="22">
        <v>3723980.8235</v>
      </c>
      <c r="D29" s="23">
        <v>2.18386697597738</v>
      </c>
      <c r="E29" s="23">
        <v>16.0785564551009</v>
      </c>
      <c r="F29" s="23">
        <v>5.3005076280626</v>
      </c>
    </row>
    <row r="30" spans="2:6" ht="7.5" customHeight="1">
      <c r="B30" s="21"/>
      <c r="C30" s="22"/>
      <c r="D30" s="23"/>
      <c r="E30" s="23"/>
      <c r="F30" s="23"/>
    </row>
    <row r="31" spans="2:6" ht="12.75">
      <c r="B31" s="21" t="s">
        <v>116</v>
      </c>
      <c r="C31" s="22">
        <v>7634075.2716</v>
      </c>
      <c r="D31" s="23">
        <v>2.38123432691057</v>
      </c>
      <c r="E31" s="23">
        <v>-4.50741892125007</v>
      </c>
      <c r="F31" s="23">
        <v>-3.53377820400409</v>
      </c>
    </row>
    <row r="32" spans="2:6" ht="12.75">
      <c r="B32" s="24" t="s">
        <v>117</v>
      </c>
      <c r="C32" s="25">
        <v>5154277.8699</v>
      </c>
      <c r="D32" s="26">
        <v>-0.179633428296988</v>
      </c>
      <c r="E32" s="26">
        <v>-11.8952229497179</v>
      </c>
      <c r="F32" s="26">
        <v>-18.8798644432199</v>
      </c>
    </row>
    <row r="33" spans="2:6" ht="15" customHeight="1">
      <c r="B33" s="24" t="s">
        <v>118</v>
      </c>
      <c r="C33" s="25">
        <v>986489.6761</v>
      </c>
      <c r="D33" s="26">
        <v>24.6230543815274</v>
      </c>
      <c r="E33" s="26">
        <v>25.6155611370049</v>
      </c>
      <c r="F33" s="26">
        <v>181.59862730801</v>
      </c>
    </row>
    <row r="34" spans="2:6" ht="12.75">
      <c r="B34" s="24" t="s">
        <v>119</v>
      </c>
      <c r="C34" s="25">
        <v>1493307.7256</v>
      </c>
      <c r="D34" s="26">
        <v>-0.538052278248432</v>
      </c>
      <c r="E34" s="26">
        <v>9.88895812797907</v>
      </c>
      <c r="F34" s="26">
        <v>23.4619163788452</v>
      </c>
    </row>
    <row r="35" spans="2:6" ht="9" customHeight="1">
      <c r="B35" s="24"/>
      <c r="C35" s="25"/>
      <c r="D35" s="26"/>
      <c r="E35" s="26"/>
      <c r="F35" s="26"/>
    </row>
    <row r="36" spans="2:6" ht="12.75">
      <c r="B36" s="27" t="s">
        <v>73</v>
      </c>
      <c r="C36" s="28">
        <v>4181320.5566</v>
      </c>
      <c r="D36" s="29">
        <v>-0.0250907406025894</v>
      </c>
      <c r="E36" s="29">
        <v>4.74895453913539</v>
      </c>
      <c r="F36" s="29">
        <v>6.50052039864533</v>
      </c>
    </row>
    <row r="37" spans="2:6" ht="9" customHeight="1">
      <c r="B37" s="33"/>
      <c r="C37" s="34"/>
      <c r="D37" s="35"/>
      <c r="E37" s="35"/>
      <c r="F37" s="35"/>
    </row>
    <row r="38" spans="2:6" ht="12.75">
      <c r="B38" s="33" t="s">
        <v>27</v>
      </c>
      <c r="C38" s="34"/>
      <c r="D38" s="35"/>
      <c r="E38" s="35"/>
      <c r="F38" s="35"/>
    </row>
    <row r="39" spans="2:6" ht="12.75">
      <c r="B39" s="36" t="s">
        <v>76</v>
      </c>
      <c r="C39" s="37">
        <v>459868.081</v>
      </c>
      <c r="D39" s="38">
        <v>-3.66511779231036</v>
      </c>
      <c r="E39" s="38">
        <v>0.559277538186867</v>
      </c>
      <c r="F39" s="38">
        <v>-16.0655346387604</v>
      </c>
    </row>
    <row r="40" spans="2:6" ht="12.75">
      <c r="B40" s="24" t="s">
        <v>75</v>
      </c>
      <c r="C40" s="25">
        <v>1795146.6717</v>
      </c>
      <c r="D40" s="26">
        <v>1.71541351362258</v>
      </c>
      <c r="E40" s="26">
        <v>9.60416598527424</v>
      </c>
      <c r="F40" s="26">
        <v>21.4097740947055</v>
      </c>
    </row>
    <row r="41" spans="2:6" ht="12.75">
      <c r="B41" s="24" t="s">
        <v>93</v>
      </c>
      <c r="C41" s="25">
        <v>343278.9577</v>
      </c>
      <c r="D41" s="26">
        <v>-1.65294759368669</v>
      </c>
      <c r="E41" s="26">
        <v>26.8234230755188</v>
      </c>
      <c r="F41" s="26">
        <v>122.977518385459</v>
      </c>
    </row>
    <row r="42" spans="2:6" ht="12.75">
      <c r="B42" s="39" t="s">
        <v>74</v>
      </c>
      <c r="C42" s="40">
        <v>3059338.9884</v>
      </c>
      <c r="D42" s="41">
        <v>4.15007818213555</v>
      </c>
      <c r="E42" s="41">
        <v>9.39130150635427</v>
      </c>
      <c r="F42" s="41">
        <v>9.79754353034967</v>
      </c>
    </row>
    <row r="43" spans="2:6" ht="9" customHeight="1">
      <c r="B43" s="33"/>
      <c r="C43" s="34"/>
      <c r="D43" s="35"/>
      <c r="E43" s="35"/>
      <c r="F43" s="35"/>
    </row>
    <row r="44" spans="2:6" ht="12.75">
      <c r="B44" s="42" t="s">
        <v>77</v>
      </c>
      <c r="C44" s="43">
        <v>37701176.1885</v>
      </c>
      <c r="D44" s="44">
        <v>0.233831346964132</v>
      </c>
      <c r="E44" s="44">
        <v>7.00418851554258</v>
      </c>
      <c r="F44" s="44">
        <v>12.633112758976</v>
      </c>
    </row>
    <row r="45" spans="2:6" ht="9" customHeight="1">
      <c r="B45" s="6"/>
      <c r="C45" s="45"/>
      <c r="D45" s="46"/>
      <c r="E45" s="46"/>
      <c r="F45" s="46"/>
    </row>
    <row r="46" spans="2:6" ht="12.75">
      <c r="B46" s="180" t="s">
        <v>78</v>
      </c>
      <c r="C46" s="181"/>
      <c r="D46" s="181"/>
      <c r="E46" s="181"/>
      <c r="F46" s="182"/>
    </row>
    <row r="47" spans="2:6" ht="9" customHeight="1">
      <c r="B47" s="47"/>
      <c r="C47" s="48"/>
      <c r="D47" s="49"/>
      <c r="E47" s="49"/>
      <c r="F47" s="50"/>
    </row>
    <row r="48" spans="2:5" ht="12.75">
      <c r="B48" s="7"/>
      <c r="C48" s="51" t="s">
        <v>79</v>
      </c>
      <c r="D48" s="178" t="s">
        <v>133</v>
      </c>
      <c r="E48" s="179"/>
    </row>
    <row r="49" spans="2:5" ht="12.75">
      <c r="B49" s="52"/>
      <c r="C49" s="51" t="s">
        <v>66</v>
      </c>
      <c r="D49" s="53" t="s">
        <v>134</v>
      </c>
      <c r="E49" s="53" t="s">
        <v>135</v>
      </c>
    </row>
    <row r="50" spans="2:5" ht="12.75">
      <c r="B50" s="36" t="s">
        <v>206</v>
      </c>
      <c r="C50" s="151">
        <v>786800.5433</v>
      </c>
      <c r="D50" s="152">
        <v>10.896144585364</v>
      </c>
      <c r="E50" s="38">
        <v>4.28279740617739</v>
      </c>
    </row>
    <row r="51" spans="2:5" ht="12.75">
      <c r="B51" s="24" t="s">
        <v>80</v>
      </c>
      <c r="C51" s="54">
        <v>194731.4691</v>
      </c>
      <c r="D51" s="26">
        <v>-5.81017677014977</v>
      </c>
      <c r="E51" s="26">
        <v>5.15716977505483</v>
      </c>
    </row>
    <row r="52" spans="2:5" ht="12.75">
      <c r="B52" s="24" t="s">
        <v>213</v>
      </c>
      <c r="C52" s="54">
        <v>59517.3884</v>
      </c>
      <c r="D52" s="26">
        <v>-4.39130555205863</v>
      </c>
      <c r="E52" s="26">
        <v>10.2078589012888</v>
      </c>
    </row>
    <row r="53" spans="2:6" ht="12.75">
      <c r="B53" s="39" t="s">
        <v>81</v>
      </c>
      <c r="C53" s="55">
        <v>16284.8465</v>
      </c>
      <c r="D53" s="153">
        <v>41.384778603675</v>
      </c>
      <c r="E53" s="41">
        <v>-67.3016442375604</v>
      </c>
      <c r="F53" s="77"/>
    </row>
    <row r="54" spans="2:5" ht="12.75">
      <c r="B54" s="56" t="s">
        <v>82</v>
      </c>
      <c r="C54" s="57">
        <v>1057334.2473</v>
      </c>
      <c r="D54" s="58">
        <v>4.56170190336386</v>
      </c>
      <c r="E54" s="58">
        <v>1.32802120155142</v>
      </c>
    </row>
    <row r="55" spans="2:5" ht="12.75">
      <c r="B55" s="36" t="s">
        <v>83</v>
      </c>
      <c r="C55" s="59">
        <v>547180.657</v>
      </c>
      <c r="D55" s="38">
        <v>1.73180782090171</v>
      </c>
      <c r="E55" s="38">
        <v>4.20169138514781</v>
      </c>
    </row>
    <row r="56" spans="2:5" ht="12.75">
      <c r="B56" s="39" t="s">
        <v>49</v>
      </c>
      <c r="C56" s="55">
        <v>152889.4202</v>
      </c>
      <c r="D56" s="41">
        <v>-11.6310915665388</v>
      </c>
      <c r="E56" s="41">
        <v>-13.0309646481823</v>
      </c>
    </row>
    <row r="57" spans="2:5" ht="12.75">
      <c r="B57" s="56" t="s">
        <v>84</v>
      </c>
      <c r="C57" s="57">
        <v>357264.1701</v>
      </c>
      <c r="D57" s="58">
        <v>17.7792075625425</v>
      </c>
      <c r="E57" s="58">
        <v>4.29175003790385</v>
      </c>
    </row>
    <row r="58" spans="2:5" ht="12.75">
      <c r="B58" s="36" t="s">
        <v>226</v>
      </c>
      <c r="C58" s="59">
        <v>57679.1363</v>
      </c>
      <c r="D58" s="38">
        <v>-18.2339149213506</v>
      </c>
      <c r="E58" s="38">
        <v>10.2330687799482</v>
      </c>
    </row>
    <row r="59" spans="2:6" ht="12.75">
      <c r="B59" s="56" t="s">
        <v>236</v>
      </c>
      <c r="C59" s="60">
        <v>414943.306500001</v>
      </c>
      <c r="D59" s="58">
        <v>11.6188374184504</v>
      </c>
      <c r="E59" s="58">
        <v>5.07900776430428</v>
      </c>
      <c r="F59" s="77"/>
    </row>
    <row r="60" spans="2:5" ht="12.75">
      <c r="B60" s="24" t="s">
        <v>104</v>
      </c>
      <c r="C60" s="54">
        <v>-15791.7407</v>
      </c>
      <c r="D60" s="154" t="s">
        <v>256</v>
      </c>
      <c r="E60" s="26">
        <v>39.2340250321841</v>
      </c>
    </row>
    <row r="61" spans="2:5" ht="12.75">
      <c r="B61" s="56" t="s">
        <v>99</v>
      </c>
      <c r="C61" s="57">
        <v>399151.5657</v>
      </c>
      <c r="D61" s="58">
        <v>2.61996378754461</v>
      </c>
      <c r="E61" s="58">
        <v>4.06900468382116</v>
      </c>
    </row>
    <row r="62" spans="2:5" ht="12.75">
      <c r="B62" s="39" t="s">
        <v>94</v>
      </c>
      <c r="C62" s="61">
        <v>69798.3663</v>
      </c>
      <c r="D62" s="164">
        <v>-7.81145347136674</v>
      </c>
      <c r="E62" s="41">
        <v>13.474237642576</v>
      </c>
    </row>
    <row r="63" spans="2:5" ht="12.75">
      <c r="B63" s="56" t="s">
        <v>85</v>
      </c>
      <c r="C63" s="62">
        <v>329353.1993</v>
      </c>
      <c r="D63" s="63">
        <v>5.00053801826305</v>
      </c>
      <c r="E63" s="58">
        <v>2.27255621106479</v>
      </c>
    </row>
    <row r="65" ht="12.75">
      <c r="B65" s="90" t="s">
        <v>27</v>
      </c>
    </row>
    <row r="66" spans="2:5" ht="12.75">
      <c r="B66" s="42" t="s">
        <v>128</v>
      </c>
      <c r="C66" s="65">
        <v>165982.6902</v>
      </c>
      <c r="D66" s="66">
        <v>-8.14207943594863</v>
      </c>
      <c r="E66" s="44">
        <v>-5.85528381599809</v>
      </c>
    </row>
    <row r="68" ht="9" customHeight="1"/>
    <row r="69" ht="12.75">
      <c r="B69" s="3" t="s">
        <v>60</v>
      </c>
    </row>
    <row r="70" ht="12.75">
      <c r="B70" s="3" t="s">
        <v>146</v>
      </c>
    </row>
    <row r="71" ht="12.75">
      <c r="B71" s="3" t="s">
        <v>136</v>
      </c>
    </row>
    <row r="72" ht="12.75">
      <c r="B72" s="3" t="s">
        <v>145</v>
      </c>
    </row>
    <row r="74" ht="12.75">
      <c r="B74" s="3" t="s">
        <v>103</v>
      </c>
    </row>
  </sheetData>
  <mergeCells count="5">
    <mergeCell ref="B3:F3"/>
    <mergeCell ref="D48:E48"/>
    <mergeCell ref="B7:F7"/>
    <mergeCell ref="B46:F46"/>
    <mergeCell ref="B4:F4"/>
  </mergeCells>
  <hyperlinks>
    <hyperlink ref="F1" location="Indice!A1" display="Volver"/>
  </hyperlinks>
  <printOptions horizontalCentered="1"/>
  <pageMargins left="0.15748031496062992" right="0.2755905511811024" top="0.37" bottom="0.31" header="0" footer="0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workbookViewId="0" topLeftCell="L1">
      <selection activeCell="P1" sqref="P1"/>
    </sheetView>
  </sheetViews>
  <sheetFormatPr defaultColWidth="11.00390625" defaultRowHeight="12.75"/>
  <cols>
    <col min="1" max="1" width="47.625" style="3" customWidth="1"/>
    <col min="2" max="2" width="17.875" style="3" bestFit="1" customWidth="1"/>
    <col min="3" max="8" width="17.625" style="3" customWidth="1"/>
    <col min="9" max="9" width="17.125" style="3" bestFit="1" customWidth="1"/>
    <col min="10" max="10" width="15.125" style="3" bestFit="1" customWidth="1"/>
    <col min="11" max="11" width="16.50390625" style="3" bestFit="1" customWidth="1"/>
    <col min="12" max="12" width="15.00390625" style="3" bestFit="1" customWidth="1"/>
    <col min="13" max="13" width="16.125" style="3" bestFit="1" customWidth="1"/>
    <col min="14" max="14" width="4.375" style="3" customWidth="1"/>
    <col min="15" max="16" width="15.125" style="3" bestFit="1" customWidth="1"/>
    <col min="17" max="16384" width="12.00390625" style="3" customWidth="1"/>
  </cols>
  <sheetData>
    <row r="1" spans="1:16" ht="12.75">
      <c r="A1" s="110" t="s">
        <v>153</v>
      </c>
      <c r="P1" s="114" t="s">
        <v>160</v>
      </c>
    </row>
    <row r="2" ht="12.75">
      <c r="A2" s="110" t="s">
        <v>154</v>
      </c>
    </row>
    <row r="3" ht="12.75">
      <c r="A3" s="110"/>
    </row>
    <row r="4" spans="1:16" ht="18">
      <c r="A4" s="186" t="s">
        <v>259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2.75">
      <c r="A5" s="187" t="s">
        <v>91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5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9" customFormat="1" ht="12.75">
      <c r="A7" s="69"/>
      <c r="B7" s="183" t="s">
        <v>0</v>
      </c>
      <c r="C7" s="184"/>
      <c r="D7" s="184"/>
      <c r="E7" s="184"/>
      <c r="F7" s="185"/>
      <c r="G7" s="70" t="s">
        <v>61</v>
      </c>
      <c r="H7" s="69" t="s">
        <v>62</v>
      </c>
      <c r="I7" s="184" t="s">
        <v>38</v>
      </c>
      <c r="J7" s="184"/>
      <c r="K7" s="185"/>
      <c r="L7" s="69" t="s">
        <v>120</v>
      </c>
      <c r="M7" s="69" t="s">
        <v>1</v>
      </c>
      <c r="N7" s="71"/>
      <c r="O7" s="69" t="s">
        <v>0</v>
      </c>
      <c r="P7" s="69" t="s">
        <v>0</v>
      </c>
    </row>
    <row r="8" spans="1:16" s="49" customFormat="1" ht="12.75">
      <c r="A8" s="72" t="s">
        <v>20</v>
      </c>
      <c r="B8" s="73" t="s">
        <v>96</v>
      </c>
      <c r="C8" s="72" t="s">
        <v>97</v>
      </c>
      <c r="D8" s="183" t="s">
        <v>95</v>
      </c>
      <c r="E8" s="184"/>
      <c r="F8" s="185"/>
      <c r="G8" s="67" t="s">
        <v>2</v>
      </c>
      <c r="H8" s="72" t="s">
        <v>2</v>
      </c>
      <c r="I8" s="73" t="s">
        <v>96</v>
      </c>
      <c r="J8" s="72" t="s">
        <v>138</v>
      </c>
      <c r="K8" s="72" t="s">
        <v>105</v>
      </c>
      <c r="L8" s="72" t="s">
        <v>121</v>
      </c>
      <c r="M8" s="72" t="s">
        <v>3</v>
      </c>
      <c r="N8" s="71"/>
      <c r="O8" s="72" t="s">
        <v>63</v>
      </c>
      <c r="P8" s="72" t="s">
        <v>37</v>
      </c>
    </row>
    <row r="9" spans="1:16" s="49" customFormat="1" ht="12.75">
      <c r="A9" s="74"/>
      <c r="B9" s="75"/>
      <c r="C9" s="74"/>
      <c r="D9" s="74" t="s">
        <v>96</v>
      </c>
      <c r="E9" s="74" t="s">
        <v>36</v>
      </c>
      <c r="F9" s="74" t="s">
        <v>106</v>
      </c>
      <c r="G9" s="76"/>
      <c r="H9" s="74"/>
      <c r="I9" s="75"/>
      <c r="J9" s="74" t="s">
        <v>139</v>
      </c>
      <c r="K9" s="74"/>
      <c r="L9" s="74" t="s">
        <v>122</v>
      </c>
      <c r="M9" s="74"/>
      <c r="N9" s="71"/>
      <c r="O9" s="74"/>
      <c r="P9" s="74"/>
    </row>
    <row r="10" spans="2:16" ht="12.7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O10" s="77"/>
      <c r="P10" s="77"/>
    </row>
    <row r="11" spans="1:16" s="49" customFormat="1" ht="12.75">
      <c r="A11" s="78" t="s">
        <v>16</v>
      </c>
      <c r="B11" s="79">
        <v>33400906.3556</v>
      </c>
      <c r="C11" s="79">
        <v>23933612.2724</v>
      </c>
      <c r="D11" s="79">
        <v>9467294.0825</v>
      </c>
      <c r="E11" s="79">
        <v>3745499.7038</v>
      </c>
      <c r="F11" s="79">
        <v>5721794.3787</v>
      </c>
      <c r="G11" s="79">
        <v>5643968.7799</v>
      </c>
      <c r="H11" s="79">
        <v>45257182.4901</v>
      </c>
      <c r="I11" s="79">
        <v>25770253.9708</v>
      </c>
      <c r="J11" s="79">
        <v>5644866.4976</v>
      </c>
      <c r="K11" s="79">
        <v>20125387.4732</v>
      </c>
      <c r="L11" s="79">
        <v>5199635.8221</v>
      </c>
      <c r="M11" s="79">
        <v>3254796.3883</v>
      </c>
      <c r="N11" s="80"/>
      <c r="O11" s="79">
        <v>2811276.624</v>
      </c>
      <c r="P11" s="79">
        <v>396813.2747</v>
      </c>
    </row>
    <row r="12" spans="1:16" ht="12.75">
      <c r="A12" s="81" t="s">
        <v>28</v>
      </c>
      <c r="B12" s="81">
        <v>213479.2547</v>
      </c>
      <c r="C12" s="81">
        <v>212379.462</v>
      </c>
      <c r="D12" s="81">
        <v>1099.7925</v>
      </c>
      <c r="E12" s="81">
        <v>40.6976</v>
      </c>
      <c r="F12" s="81">
        <v>1059.0949</v>
      </c>
      <c r="G12" s="81">
        <v>146092.2617</v>
      </c>
      <c r="H12" s="81">
        <v>587645.5218</v>
      </c>
      <c r="I12" s="81">
        <v>107633.3148</v>
      </c>
      <c r="J12" s="81">
        <v>15179.2409</v>
      </c>
      <c r="K12" s="81">
        <v>92454.0739</v>
      </c>
      <c r="L12" s="81">
        <v>0</v>
      </c>
      <c r="M12" s="81">
        <v>94067.5568</v>
      </c>
      <c r="N12" s="77"/>
      <c r="O12" s="81">
        <v>18610.965</v>
      </c>
      <c r="P12" s="81">
        <v>2187.6095</v>
      </c>
    </row>
    <row r="13" spans="1:16" ht="12.75">
      <c r="A13" s="82" t="s">
        <v>25</v>
      </c>
      <c r="B13" s="82">
        <v>3112240.8509</v>
      </c>
      <c r="C13" s="82">
        <v>2066399.4326</v>
      </c>
      <c r="D13" s="82">
        <v>1045841.4178</v>
      </c>
      <c r="E13" s="82">
        <v>259621.933</v>
      </c>
      <c r="F13" s="82">
        <v>786219.4848</v>
      </c>
      <c r="G13" s="82">
        <v>388157.2473</v>
      </c>
      <c r="H13" s="82">
        <v>3944366.2196</v>
      </c>
      <c r="I13" s="82">
        <v>2513162.6092</v>
      </c>
      <c r="J13" s="82">
        <v>334190.9144</v>
      </c>
      <c r="K13" s="82">
        <v>2178971.6948</v>
      </c>
      <c r="L13" s="82">
        <v>276632.833</v>
      </c>
      <c r="M13" s="82">
        <v>253670.236</v>
      </c>
      <c r="N13" s="77"/>
      <c r="O13" s="82">
        <v>263464.6881</v>
      </c>
      <c r="P13" s="82">
        <v>52360.7635</v>
      </c>
    </row>
    <row r="14" spans="1:16" ht="12.75">
      <c r="A14" s="82" t="s">
        <v>5</v>
      </c>
      <c r="B14" s="82">
        <v>1030299.844</v>
      </c>
      <c r="C14" s="82">
        <v>915801.0314</v>
      </c>
      <c r="D14" s="82">
        <v>114498.8122</v>
      </c>
      <c r="E14" s="82">
        <v>29909.2601</v>
      </c>
      <c r="F14" s="82">
        <v>84589.5521</v>
      </c>
      <c r="G14" s="82">
        <v>361708.7808</v>
      </c>
      <c r="H14" s="82">
        <v>1522038.5083</v>
      </c>
      <c r="I14" s="82">
        <v>894400.912</v>
      </c>
      <c r="J14" s="82">
        <v>148188.6165</v>
      </c>
      <c r="K14" s="82">
        <v>746212.2955</v>
      </c>
      <c r="L14" s="82">
        <v>144279.7812</v>
      </c>
      <c r="M14" s="82">
        <v>112133.8442</v>
      </c>
      <c r="N14" s="77"/>
      <c r="O14" s="82">
        <v>135152.0395</v>
      </c>
      <c r="P14" s="82">
        <v>4246.6307</v>
      </c>
    </row>
    <row r="15" spans="1:16" ht="12.75">
      <c r="A15" s="82" t="s">
        <v>6</v>
      </c>
      <c r="B15" s="82">
        <v>2690712.6995</v>
      </c>
      <c r="C15" s="82">
        <v>2194586.3725</v>
      </c>
      <c r="D15" s="82">
        <v>496126.3264</v>
      </c>
      <c r="E15" s="82">
        <v>303160.5241</v>
      </c>
      <c r="F15" s="82">
        <v>192965.8023</v>
      </c>
      <c r="G15" s="82">
        <v>432141.9731</v>
      </c>
      <c r="H15" s="82">
        <v>3342099.9416</v>
      </c>
      <c r="I15" s="82">
        <v>1831704.9266</v>
      </c>
      <c r="J15" s="82">
        <v>181605.8222</v>
      </c>
      <c r="K15" s="82">
        <v>1650099.1044</v>
      </c>
      <c r="L15" s="82">
        <v>451283.4186</v>
      </c>
      <c r="M15" s="82">
        <v>351446.7053</v>
      </c>
      <c r="N15" s="77"/>
      <c r="O15" s="82">
        <v>210233.6755</v>
      </c>
      <c r="P15" s="82">
        <v>22473.7619</v>
      </c>
    </row>
    <row r="16" spans="1:16" ht="12.75">
      <c r="A16" s="82" t="s">
        <v>7</v>
      </c>
      <c r="B16" s="82">
        <v>7229813.0488</v>
      </c>
      <c r="C16" s="82">
        <v>5286086.013</v>
      </c>
      <c r="D16" s="82">
        <v>1943727.0351</v>
      </c>
      <c r="E16" s="82">
        <v>751127.8026</v>
      </c>
      <c r="F16" s="82">
        <v>1192599.2325</v>
      </c>
      <c r="G16" s="82">
        <v>1164337.8555</v>
      </c>
      <c r="H16" s="82">
        <v>9423528.1227</v>
      </c>
      <c r="I16" s="82">
        <v>5494708.5192</v>
      </c>
      <c r="J16" s="82">
        <v>1538717.4808</v>
      </c>
      <c r="K16" s="82">
        <v>3955991.0384</v>
      </c>
      <c r="L16" s="82">
        <v>1195203.8821</v>
      </c>
      <c r="M16" s="82">
        <v>525086.0067</v>
      </c>
      <c r="N16" s="77"/>
      <c r="O16" s="82">
        <v>609474.1727</v>
      </c>
      <c r="P16" s="82">
        <v>84757.9187</v>
      </c>
    </row>
    <row r="17" spans="1:16" ht="12.75">
      <c r="A17" s="82" t="s">
        <v>144</v>
      </c>
      <c r="B17" s="82">
        <v>4817865.9934</v>
      </c>
      <c r="C17" s="82">
        <v>3484673.4688</v>
      </c>
      <c r="D17" s="82">
        <v>1333192.5241</v>
      </c>
      <c r="E17" s="82">
        <v>564798.75</v>
      </c>
      <c r="F17" s="82">
        <v>768393.7741</v>
      </c>
      <c r="G17" s="82">
        <v>698866.0727</v>
      </c>
      <c r="H17" s="82">
        <v>6490530.2279</v>
      </c>
      <c r="I17" s="82">
        <v>3794886.0452</v>
      </c>
      <c r="J17" s="82">
        <v>1091714.7057</v>
      </c>
      <c r="K17" s="82">
        <v>2703171.3395</v>
      </c>
      <c r="L17" s="82">
        <v>581781.1431</v>
      </c>
      <c r="M17" s="82">
        <v>386929.3919</v>
      </c>
      <c r="N17" s="77"/>
      <c r="O17" s="82">
        <v>432008.6186</v>
      </c>
      <c r="P17" s="82">
        <v>47984.7358</v>
      </c>
    </row>
    <row r="18" spans="1:16" ht="12.75">
      <c r="A18" s="82" t="s">
        <v>8</v>
      </c>
      <c r="B18" s="82">
        <v>1536231.1214</v>
      </c>
      <c r="C18" s="82">
        <v>1254564.8253</v>
      </c>
      <c r="D18" s="82">
        <v>281666.2957</v>
      </c>
      <c r="E18" s="82">
        <v>34597.7021</v>
      </c>
      <c r="F18" s="82">
        <v>247068.5936</v>
      </c>
      <c r="G18" s="82">
        <v>53990.364</v>
      </c>
      <c r="H18" s="82">
        <v>1794159.4617</v>
      </c>
      <c r="I18" s="82">
        <v>961484.0047</v>
      </c>
      <c r="J18" s="82">
        <v>147557.1045</v>
      </c>
      <c r="K18" s="82">
        <v>813926.9002</v>
      </c>
      <c r="L18" s="82">
        <v>391797.7569</v>
      </c>
      <c r="M18" s="82">
        <v>138530.7512</v>
      </c>
      <c r="N18" s="77"/>
      <c r="O18" s="82">
        <v>59321.9895</v>
      </c>
      <c r="P18" s="82">
        <v>24298.3866</v>
      </c>
    </row>
    <row r="19" spans="1:16" ht="12.75">
      <c r="A19" s="82" t="s">
        <v>31</v>
      </c>
      <c r="B19" s="82">
        <v>3852.0303</v>
      </c>
      <c r="C19" s="82">
        <v>3852.0303</v>
      </c>
      <c r="D19" s="82">
        <v>0</v>
      </c>
      <c r="E19" s="82">
        <v>0</v>
      </c>
      <c r="F19" s="82">
        <v>0</v>
      </c>
      <c r="G19" s="82">
        <v>269295.4545</v>
      </c>
      <c r="H19" s="82">
        <v>421828.0353</v>
      </c>
      <c r="I19" s="82">
        <v>146737.9371</v>
      </c>
      <c r="J19" s="82">
        <v>11324.062</v>
      </c>
      <c r="K19" s="82">
        <v>135413.8751</v>
      </c>
      <c r="L19" s="82">
        <v>0</v>
      </c>
      <c r="M19" s="82">
        <v>76879.3748</v>
      </c>
      <c r="N19" s="77"/>
      <c r="O19" s="82">
        <v>0</v>
      </c>
      <c r="P19" s="82">
        <v>0</v>
      </c>
    </row>
    <row r="20" spans="1:16" ht="12.75">
      <c r="A20" s="82" t="s">
        <v>11</v>
      </c>
      <c r="B20" s="82">
        <v>286920.0611</v>
      </c>
      <c r="C20" s="82">
        <v>5797.2231</v>
      </c>
      <c r="D20" s="82">
        <v>281122.8378</v>
      </c>
      <c r="E20" s="82">
        <v>226338.2186</v>
      </c>
      <c r="F20" s="82">
        <v>54784.6192</v>
      </c>
      <c r="G20" s="82">
        <v>5536.6536</v>
      </c>
      <c r="H20" s="82">
        <v>324665.9487</v>
      </c>
      <c r="I20" s="82">
        <v>214602.0808</v>
      </c>
      <c r="J20" s="82">
        <v>8416.5937</v>
      </c>
      <c r="K20" s="82">
        <v>206185.4871</v>
      </c>
      <c r="L20" s="82">
        <v>43817.5711</v>
      </c>
      <c r="M20" s="82">
        <v>43609.0186</v>
      </c>
      <c r="N20" s="77"/>
      <c r="O20" s="82">
        <v>0</v>
      </c>
      <c r="P20" s="82">
        <v>708.6874</v>
      </c>
    </row>
    <row r="21" spans="1:16" ht="12.75">
      <c r="A21" s="82" t="s">
        <v>24</v>
      </c>
      <c r="B21" s="82">
        <v>99280.7796</v>
      </c>
      <c r="C21" s="82">
        <v>99280.7792</v>
      </c>
      <c r="D21" s="82">
        <v>0</v>
      </c>
      <c r="E21" s="82">
        <v>0</v>
      </c>
      <c r="F21" s="82">
        <v>0</v>
      </c>
      <c r="G21" s="82">
        <v>5755.9409</v>
      </c>
      <c r="H21" s="82">
        <v>122987.7486</v>
      </c>
      <c r="I21" s="82">
        <v>85674.2335</v>
      </c>
      <c r="J21" s="82">
        <v>11568.0592</v>
      </c>
      <c r="K21" s="82">
        <v>74106.1743</v>
      </c>
      <c r="L21" s="82">
        <v>0</v>
      </c>
      <c r="M21" s="82">
        <v>12847.8525</v>
      </c>
      <c r="N21" s="77"/>
      <c r="O21" s="82">
        <v>4573.8792</v>
      </c>
      <c r="P21" s="82">
        <v>1453.3863</v>
      </c>
    </row>
    <row r="22" spans="1:16" ht="12.75">
      <c r="A22" s="82" t="s">
        <v>29</v>
      </c>
      <c r="B22" s="82">
        <v>133099.1717</v>
      </c>
      <c r="C22" s="82">
        <v>133032.3543</v>
      </c>
      <c r="D22" s="82">
        <v>66.8171</v>
      </c>
      <c r="E22" s="82">
        <v>66.8171</v>
      </c>
      <c r="F22" s="82">
        <v>0</v>
      </c>
      <c r="G22" s="82">
        <v>233536.6314</v>
      </c>
      <c r="H22" s="82">
        <v>539688.4148</v>
      </c>
      <c r="I22" s="82">
        <v>208198.3114</v>
      </c>
      <c r="J22" s="82">
        <v>1142.133</v>
      </c>
      <c r="K22" s="82">
        <v>207056.1784</v>
      </c>
      <c r="L22" s="82">
        <v>0</v>
      </c>
      <c r="M22" s="82">
        <v>89757.1134</v>
      </c>
      <c r="N22" s="77"/>
      <c r="O22" s="82">
        <v>17786.2329</v>
      </c>
      <c r="P22" s="82">
        <v>18.4616</v>
      </c>
    </row>
    <row r="23" spans="1:16" ht="12.75">
      <c r="A23" s="82" t="s">
        <v>9</v>
      </c>
      <c r="B23" s="82">
        <v>120807.2622</v>
      </c>
      <c r="C23" s="82">
        <v>119709.446</v>
      </c>
      <c r="D23" s="82">
        <v>1097.816</v>
      </c>
      <c r="E23" s="82">
        <v>282.685</v>
      </c>
      <c r="F23" s="82">
        <v>815.131</v>
      </c>
      <c r="G23" s="82">
        <v>33952.703</v>
      </c>
      <c r="H23" s="82">
        <v>184221.9102</v>
      </c>
      <c r="I23" s="82">
        <v>134577.3851</v>
      </c>
      <c r="J23" s="82">
        <v>18837.3743</v>
      </c>
      <c r="K23" s="82">
        <v>115740.0108</v>
      </c>
      <c r="L23" s="82">
        <v>3601.8358</v>
      </c>
      <c r="M23" s="82">
        <v>15087.6311</v>
      </c>
      <c r="N23" s="77"/>
      <c r="O23" s="82">
        <v>6486.3039</v>
      </c>
      <c r="P23" s="82">
        <v>2344.0652</v>
      </c>
    </row>
    <row r="24" spans="1:16" ht="12.75">
      <c r="A24" s="82" t="s">
        <v>26</v>
      </c>
      <c r="B24" s="82">
        <v>12872.9847</v>
      </c>
      <c r="C24" s="82">
        <v>12872.9844</v>
      </c>
      <c r="D24" s="82">
        <v>0</v>
      </c>
      <c r="E24" s="82">
        <v>0</v>
      </c>
      <c r="F24" s="82">
        <v>0</v>
      </c>
      <c r="G24" s="82">
        <v>11723.3132</v>
      </c>
      <c r="H24" s="82">
        <v>51363.6695</v>
      </c>
      <c r="I24" s="82">
        <v>17087.862</v>
      </c>
      <c r="J24" s="82">
        <v>2258.1604</v>
      </c>
      <c r="K24" s="82">
        <v>14829.7016</v>
      </c>
      <c r="L24" s="82">
        <v>0</v>
      </c>
      <c r="M24" s="82">
        <v>8339.4533</v>
      </c>
      <c r="N24" s="77"/>
      <c r="O24" s="82">
        <v>0</v>
      </c>
      <c r="P24" s="82">
        <v>35.4838</v>
      </c>
    </row>
    <row r="25" spans="1:16" ht="12.75">
      <c r="A25" s="82" t="s">
        <v>107</v>
      </c>
      <c r="B25" s="82">
        <v>123601.3738</v>
      </c>
      <c r="C25" s="82">
        <v>9504.67</v>
      </c>
      <c r="D25" s="82">
        <v>114096.7036</v>
      </c>
      <c r="E25" s="82">
        <v>114096.7036</v>
      </c>
      <c r="F25" s="82">
        <v>0</v>
      </c>
      <c r="G25" s="82">
        <v>0</v>
      </c>
      <c r="H25" s="82">
        <v>136250.3789</v>
      </c>
      <c r="I25" s="82">
        <v>112606.718</v>
      </c>
      <c r="J25" s="82">
        <v>3077.522</v>
      </c>
      <c r="K25" s="82">
        <v>109529.196</v>
      </c>
      <c r="L25" s="82">
        <v>0</v>
      </c>
      <c r="M25" s="82">
        <v>14035.8686</v>
      </c>
      <c r="N25" s="77"/>
      <c r="O25" s="82">
        <v>0</v>
      </c>
      <c r="P25" s="82">
        <v>378.7845</v>
      </c>
    </row>
    <row r="26" spans="1:16" ht="12.75">
      <c r="A26" s="82" t="s">
        <v>30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26997.4423</v>
      </c>
      <c r="H26" s="82">
        <v>69457.3958</v>
      </c>
      <c r="I26" s="82">
        <v>23567.1607</v>
      </c>
      <c r="J26" s="82">
        <v>1281.2966</v>
      </c>
      <c r="K26" s="82">
        <v>22285.8641</v>
      </c>
      <c r="L26" s="82">
        <v>0</v>
      </c>
      <c r="M26" s="82">
        <v>19622.3209</v>
      </c>
      <c r="N26" s="77"/>
      <c r="O26" s="82">
        <v>0</v>
      </c>
      <c r="P26" s="82">
        <v>0</v>
      </c>
    </row>
    <row r="27" spans="1:16" ht="12.75">
      <c r="A27" s="82" t="s">
        <v>22</v>
      </c>
      <c r="B27" s="82">
        <v>125749.0522</v>
      </c>
      <c r="C27" s="82">
        <v>12606.3986</v>
      </c>
      <c r="D27" s="82">
        <v>113142.6534</v>
      </c>
      <c r="E27" s="82">
        <v>98893.7025</v>
      </c>
      <c r="F27" s="82">
        <v>14248.9509</v>
      </c>
      <c r="G27" s="82">
        <v>1971.946</v>
      </c>
      <c r="H27" s="82">
        <v>151236.9382</v>
      </c>
      <c r="I27" s="82">
        <v>114010.2738</v>
      </c>
      <c r="J27" s="82">
        <v>-690.698800000013</v>
      </c>
      <c r="K27" s="82">
        <v>114700.9726</v>
      </c>
      <c r="L27" s="82">
        <v>15007.3958</v>
      </c>
      <c r="M27" s="82">
        <v>14418.631</v>
      </c>
      <c r="N27" s="77"/>
      <c r="O27" s="82">
        <v>0</v>
      </c>
      <c r="P27" s="82">
        <v>122.8</v>
      </c>
    </row>
    <row r="28" spans="1:16" ht="12.75">
      <c r="A28" s="82" t="s">
        <v>10</v>
      </c>
      <c r="B28" s="82">
        <v>9366867.4522</v>
      </c>
      <c r="C28" s="82">
        <v>6180725.8804</v>
      </c>
      <c r="D28" s="82">
        <v>3186141.5712</v>
      </c>
      <c r="E28" s="82">
        <v>1213396.0642</v>
      </c>
      <c r="F28" s="82">
        <v>1972745.507</v>
      </c>
      <c r="G28" s="82">
        <v>1329822.6822</v>
      </c>
      <c r="H28" s="82">
        <v>12837246.6757</v>
      </c>
      <c r="I28" s="82">
        <v>7036451.4599</v>
      </c>
      <c r="J28" s="82">
        <v>1829507.8413</v>
      </c>
      <c r="K28" s="82">
        <v>5206943.6186</v>
      </c>
      <c r="L28" s="82">
        <v>1763623.5646</v>
      </c>
      <c r="M28" s="82">
        <v>837903.2123</v>
      </c>
      <c r="N28" s="77"/>
      <c r="O28" s="82">
        <v>884981.6227</v>
      </c>
      <c r="P28" s="82">
        <v>120155.1932</v>
      </c>
    </row>
    <row r="29" spans="1:16" ht="12.75">
      <c r="A29" s="82" t="s">
        <v>32</v>
      </c>
      <c r="B29" s="82">
        <v>1278155.3554</v>
      </c>
      <c r="C29" s="82">
        <v>1177755.9486</v>
      </c>
      <c r="D29" s="82">
        <v>100399.4063</v>
      </c>
      <c r="E29" s="82">
        <v>21787.2837</v>
      </c>
      <c r="F29" s="82">
        <v>78612.1226</v>
      </c>
      <c r="G29" s="82">
        <v>246859.0452</v>
      </c>
      <c r="H29" s="82">
        <v>1710202.0384</v>
      </c>
      <c r="I29" s="82">
        <v>1074524.1289</v>
      </c>
      <c r="J29" s="82">
        <v>103492.9649</v>
      </c>
      <c r="K29" s="82">
        <v>971031.164</v>
      </c>
      <c r="L29" s="82">
        <v>136646.5751</v>
      </c>
      <c r="M29" s="82">
        <v>127525.2579</v>
      </c>
      <c r="N29" s="77"/>
      <c r="O29" s="82">
        <v>81832.1757</v>
      </c>
      <c r="P29" s="82">
        <v>9407.4119</v>
      </c>
    </row>
    <row r="30" spans="1:16" ht="12.75">
      <c r="A30" s="83" t="s">
        <v>21</v>
      </c>
      <c r="B30" s="83">
        <v>1219058.0191</v>
      </c>
      <c r="C30" s="83">
        <v>763983.9477</v>
      </c>
      <c r="D30" s="83">
        <v>455074.0708</v>
      </c>
      <c r="E30" s="83">
        <v>127381.5582</v>
      </c>
      <c r="F30" s="83">
        <v>327692.5126</v>
      </c>
      <c r="G30" s="83">
        <v>233222.4118</v>
      </c>
      <c r="H30" s="83">
        <v>1603665.3316</v>
      </c>
      <c r="I30" s="83">
        <v>1004236.0864</v>
      </c>
      <c r="J30" s="83">
        <v>197497.3033</v>
      </c>
      <c r="K30" s="83">
        <v>806738.7831</v>
      </c>
      <c r="L30" s="83">
        <v>195960.0634</v>
      </c>
      <c r="M30" s="83">
        <v>132906.161</v>
      </c>
      <c r="N30" s="77"/>
      <c r="O30" s="83">
        <v>87350.2602</v>
      </c>
      <c r="P30" s="83">
        <v>23879.1933</v>
      </c>
    </row>
    <row r="31" ht="12.75">
      <c r="N31" s="77"/>
    </row>
    <row r="32" spans="1:16" ht="12.75">
      <c r="A32" s="79" t="s">
        <v>143</v>
      </c>
      <c r="B32" s="79">
        <v>5423980.7039</v>
      </c>
      <c r="C32" s="79">
        <v>2768347.4294</v>
      </c>
      <c r="D32" s="79">
        <v>2655633.2738</v>
      </c>
      <c r="E32" s="79">
        <v>564701.6232</v>
      </c>
      <c r="F32" s="79">
        <v>2090931.6506</v>
      </c>
      <c r="G32" s="79">
        <v>2995940.8907</v>
      </c>
      <c r="H32" s="79">
        <v>9144365.8242</v>
      </c>
      <c r="I32" s="79">
        <v>5188072.7051</v>
      </c>
      <c r="J32" s="79">
        <v>1390210.7905</v>
      </c>
      <c r="K32" s="79">
        <v>3797861.9146</v>
      </c>
      <c r="L32" s="79">
        <v>2198265.4361</v>
      </c>
      <c r="M32" s="79">
        <v>404526.3839</v>
      </c>
      <c r="N32" s="84"/>
      <c r="O32" s="79">
        <v>170232.3842</v>
      </c>
      <c r="P32" s="79">
        <v>45173.2244</v>
      </c>
    </row>
    <row r="33" ht="12.75">
      <c r="N33" s="77"/>
    </row>
    <row r="34" spans="1:16" s="49" customFormat="1" ht="12.75">
      <c r="A34" s="79" t="s">
        <v>23</v>
      </c>
      <c r="B34" s="79">
        <v>1935628.1174</v>
      </c>
      <c r="C34" s="79">
        <v>1264509.7152</v>
      </c>
      <c r="D34" s="79">
        <v>671118.4018</v>
      </c>
      <c r="E34" s="79">
        <v>426410.0905</v>
      </c>
      <c r="F34" s="79">
        <v>244708.3113</v>
      </c>
      <c r="G34" s="79">
        <v>702808.6421</v>
      </c>
      <c r="H34" s="79">
        <v>3633869.1663</v>
      </c>
      <c r="I34" s="79">
        <v>2121509.1073</v>
      </c>
      <c r="J34" s="79">
        <v>509836.7005</v>
      </c>
      <c r="K34" s="79">
        <v>1611672.4068</v>
      </c>
      <c r="L34" s="79">
        <v>236174.0132</v>
      </c>
      <c r="M34" s="79">
        <v>521997.7844</v>
      </c>
      <c r="N34" s="85"/>
      <c r="O34" s="79">
        <v>77829.9801</v>
      </c>
      <c r="P34" s="79">
        <v>17881.5817</v>
      </c>
    </row>
    <row r="35" spans="1:16" ht="12.75">
      <c r="A35" s="82" t="s">
        <v>34</v>
      </c>
      <c r="B35" s="82">
        <v>929251.9044</v>
      </c>
      <c r="C35" s="82">
        <v>567146.6552</v>
      </c>
      <c r="D35" s="82">
        <v>362105.2487</v>
      </c>
      <c r="E35" s="82">
        <v>165104.5477</v>
      </c>
      <c r="F35" s="82">
        <v>197000.701</v>
      </c>
      <c r="G35" s="82">
        <v>137700.4784</v>
      </c>
      <c r="H35" s="82">
        <v>1386772.3605</v>
      </c>
      <c r="I35" s="82">
        <v>911166.3203</v>
      </c>
      <c r="J35" s="82">
        <v>111838.3436</v>
      </c>
      <c r="K35" s="82">
        <v>799327.9767</v>
      </c>
      <c r="L35" s="82">
        <v>169550.6186</v>
      </c>
      <c r="M35" s="82">
        <v>106424.4578</v>
      </c>
      <c r="N35" s="77"/>
      <c r="O35" s="82">
        <v>45123.3981</v>
      </c>
      <c r="P35" s="82">
        <v>10444.2825</v>
      </c>
    </row>
    <row r="36" spans="1:16" ht="12.75">
      <c r="A36" s="82" t="s">
        <v>12</v>
      </c>
      <c r="B36" s="82">
        <v>860761.2594</v>
      </c>
      <c r="C36" s="82">
        <v>551809.0832</v>
      </c>
      <c r="D36" s="82">
        <v>308952.1758</v>
      </c>
      <c r="E36" s="82">
        <v>261244.5655</v>
      </c>
      <c r="F36" s="82">
        <v>47707.6103</v>
      </c>
      <c r="G36" s="82">
        <v>380750.3488</v>
      </c>
      <c r="H36" s="82">
        <v>1773679.3544</v>
      </c>
      <c r="I36" s="82">
        <v>1054792.5362</v>
      </c>
      <c r="J36" s="82">
        <v>371435.5718</v>
      </c>
      <c r="K36" s="82">
        <v>683356.9644</v>
      </c>
      <c r="L36" s="82">
        <v>66623.3946</v>
      </c>
      <c r="M36" s="82">
        <v>243641.0321</v>
      </c>
      <c r="N36" s="77"/>
      <c r="O36" s="82">
        <v>28768.0242</v>
      </c>
      <c r="P36" s="82">
        <v>7422.6846</v>
      </c>
    </row>
    <row r="37" spans="1:16" ht="12.75">
      <c r="A37" s="82" t="s">
        <v>14</v>
      </c>
      <c r="B37" s="82">
        <v>13691.3712</v>
      </c>
      <c r="C37" s="82">
        <v>13651.8724</v>
      </c>
      <c r="D37" s="82">
        <v>39.4985</v>
      </c>
      <c r="E37" s="82">
        <v>39.4985</v>
      </c>
      <c r="F37" s="82">
        <v>0</v>
      </c>
      <c r="G37" s="82">
        <v>0</v>
      </c>
      <c r="H37" s="82">
        <v>15981.9248</v>
      </c>
      <c r="I37" s="82">
        <v>2094.5656</v>
      </c>
      <c r="J37" s="82">
        <v>1095.0735</v>
      </c>
      <c r="K37" s="82">
        <v>999.4921</v>
      </c>
      <c r="L37" s="82">
        <v>0</v>
      </c>
      <c r="M37" s="82">
        <v>12516.6851</v>
      </c>
      <c r="N37" s="77"/>
      <c r="O37" s="82">
        <v>1043.9918</v>
      </c>
      <c r="P37" s="82">
        <v>14.6145</v>
      </c>
    </row>
    <row r="38" spans="1:16" ht="12.75">
      <c r="A38" s="82" t="s">
        <v>13</v>
      </c>
      <c r="B38" s="82">
        <v>29448.7631</v>
      </c>
      <c r="C38" s="82">
        <v>29427.2843</v>
      </c>
      <c r="D38" s="82">
        <v>21.4786</v>
      </c>
      <c r="E38" s="82">
        <v>21.4786</v>
      </c>
      <c r="F38" s="82">
        <v>0</v>
      </c>
      <c r="G38" s="82">
        <v>0.8006</v>
      </c>
      <c r="H38" s="82">
        <v>30737.162</v>
      </c>
      <c r="I38" s="82">
        <v>4307.9383</v>
      </c>
      <c r="J38" s="82">
        <v>1509.2744</v>
      </c>
      <c r="K38" s="82">
        <v>2798.6639</v>
      </c>
      <c r="L38" s="82">
        <v>0</v>
      </c>
      <c r="M38" s="82">
        <v>19829.7423</v>
      </c>
      <c r="N38" s="77"/>
      <c r="O38" s="82">
        <v>2113.708</v>
      </c>
      <c r="P38" s="82">
        <v>0</v>
      </c>
    </row>
    <row r="39" spans="1:16" ht="12.75">
      <c r="A39" s="82" t="s">
        <v>35</v>
      </c>
      <c r="B39" s="82">
        <v>24471.1562</v>
      </c>
      <c r="C39" s="82">
        <v>24471.156</v>
      </c>
      <c r="D39" s="82">
        <v>0</v>
      </c>
      <c r="E39" s="82">
        <v>0</v>
      </c>
      <c r="F39" s="82">
        <v>0</v>
      </c>
      <c r="G39" s="82">
        <v>11742.3484</v>
      </c>
      <c r="H39" s="82">
        <v>55400.8205</v>
      </c>
      <c r="I39" s="82">
        <v>37743.2563</v>
      </c>
      <c r="J39" s="82">
        <v>20806.0625</v>
      </c>
      <c r="K39" s="82">
        <v>16937.1938</v>
      </c>
      <c r="L39" s="82">
        <v>0</v>
      </c>
      <c r="M39" s="82">
        <v>13690.1674</v>
      </c>
      <c r="N39" s="77"/>
      <c r="O39" s="82">
        <v>780.8577</v>
      </c>
      <c r="P39" s="82">
        <v>0</v>
      </c>
    </row>
    <row r="40" spans="1:16" ht="12.75">
      <c r="A40" s="83" t="s">
        <v>33</v>
      </c>
      <c r="B40" s="83">
        <v>78003.663</v>
      </c>
      <c r="C40" s="83">
        <v>78003.663</v>
      </c>
      <c r="D40" s="83">
        <v>0</v>
      </c>
      <c r="E40" s="83">
        <v>0</v>
      </c>
      <c r="F40" s="83">
        <v>0</v>
      </c>
      <c r="G40" s="83">
        <v>172614.6657</v>
      </c>
      <c r="H40" s="83">
        <v>371297.5437</v>
      </c>
      <c r="I40" s="83">
        <v>111404.4902</v>
      </c>
      <c r="J40" s="83">
        <v>3152.3745</v>
      </c>
      <c r="K40" s="83">
        <v>108252.1157</v>
      </c>
      <c r="L40" s="83">
        <v>0</v>
      </c>
      <c r="M40" s="83">
        <v>125895.6993</v>
      </c>
      <c r="N40" s="77"/>
      <c r="O40" s="83">
        <v>0</v>
      </c>
      <c r="P40" s="83">
        <v>0</v>
      </c>
    </row>
    <row r="41" spans="10:16" ht="12.75">
      <c r="J41" s="77"/>
      <c r="K41" s="77"/>
      <c r="L41" s="77"/>
      <c r="M41" s="77"/>
      <c r="N41" s="77"/>
      <c r="O41" s="77"/>
      <c r="P41" s="77"/>
    </row>
    <row r="42" spans="1:16" s="49" customFormat="1" ht="12.75">
      <c r="A42" s="78" t="s">
        <v>15</v>
      </c>
      <c r="B42" s="79">
        <v>40760515.1769</v>
      </c>
      <c r="C42" s="79">
        <v>27966469.4178</v>
      </c>
      <c r="D42" s="79">
        <v>12794045.7585</v>
      </c>
      <c r="E42" s="79">
        <v>4736611.4177</v>
      </c>
      <c r="F42" s="79">
        <v>8057434.3408</v>
      </c>
      <c r="G42" s="79">
        <v>9342718.3129</v>
      </c>
      <c r="H42" s="79">
        <v>58035417.4807</v>
      </c>
      <c r="I42" s="79">
        <v>33079835.7834</v>
      </c>
      <c r="J42" s="79">
        <v>7544913.9887</v>
      </c>
      <c r="K42" s="79">
        <v>25534921.7947</v>
      </c>
      <c r="L42" s="79">
        <v>7634075.2716</v>
      </c>
      <c r="M42" s="79">
        <v>4181320.5566</v>
      </c>
      <c r="N42" s="48"/>
      <c r="O42" s="79">
        <v>3059338.9884</v>
      </c>
      <c r="P42" s="79">
        <v>459868.081</v>
      </c>
    </row>
    <row r="43" spans="1:16" s="49" customFormat="1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8"/>
      <c r="O43" s="87"/>
      <c r="P43" s="87"/>
    </row>
    <row r="44" spans="1:16" s="49" customFormat="1" ht="12.75">
      <c r="A44" s="86" t="s">
        <v>27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48"/>
      <c r="O44" s="87"/>
      <c r="P44" s="87"/>
    </row>
    <row r="45" spans="1:16" s="49" customFormat="1" ht="12.75">
      <c r="A45" s="88" t="s">
        <v>142</v>
      </c>
      <c r="B45" s="88">
        <v>176705.6687</v>
      </c>
      <c r="C45" s="88">
        <v>6312.3128</v>
      </c>
      <c r="D45" s="88">
        <v>170393.3557</v>
      </c>
      <c r="E45" s="88">
        <v>170393.3557</v>
      </c>
      <c r="F45" s="88">
        <v>0</v>
      </c>
      <c r="G45" s="88">
        <v>12.9934</v>
      </c>
      <c r="H45" s="88">
        <v>213879.7249</v>
      </c>
      <c r="I45" s="88">
        <v>169143.087</v>
      </c>
      <c r="J45" s="88">
        <v>3905.3288</v>
      </c>
      <c r="K45" s="88">
        <v>165237.7582</v>
      </c>
      <c r="L45" s="88">
        <v>0</v>
      </c>
      <c r="M45" s="88">
        <v>23958.9029</v>
      </c>
      <c r="N45" s="48"/>
      <c r="O45" s="88">
        <v>0</v>
      </c>
      <c r="P45" s="88">
        <v>720.7206</v>
      </c>
    </row>
    <row r="46" spans="1:16" ht="12.75">
      <c r="A46" s="88" t="s">
        <v>141</v>
      </c>
      <c r="B46" s="88">
        <v>4641160.3247</v>
      </c>
      <c r="C46" s="88">
        <v>3478361.1559</v>
      </c>
      <c r="D46" s="88">
        <v>1162799.1683</v>
      </c>
      <c r="E46" s="88">
        <v>394405.3942</v>
      </c>
      <c r="F46" s="88">
        <v>768393.7741</v>
      </c>
      <c r="G46" s="88">
        <v>698853.0793</v>
      </c>
      <c r="H46" s="88">
        <v>6320163.4648</v>
      </c>
      <c r="I46" s="88">
        <v>3626903.8796</v>
      </c>
      <c r="J46" s="88">
        <v>1088970.2983</v>
      </c>
      <c r="K46" s="88">
        <v>2537933.5813</v>
      </c>
      <c r="L46" s="88">
        <v>581781.1431</v>
      </c>
      <c r="M46" s="88">
        <v>386929.3919</v>
      </c>
      <c r="O46" s="88">
        <v>432008.6186</v>
      </c>
      <c r="P46" s="88">
        <v>47264.0152</v>
      </c>
    </row>
    <row r="47" ht="12.75">
      <c r="A47" s="45"/>
    </row>
    <row r="48" spans="1:13" ht="12.75">
      <c r="A48" s="3" t="s">
        <v>60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4" ht="12.75">
      <c r="A49" s="3" t="s">
        <v>140</v>
      </c>
      <c r="N49" s="49"/>
    </row>
    <row r="50" spans="1:14" ht="12.75">
      <c r="A50" s="3" t="s">
        <v>243</v>
      </c>
      <c r="N50" s="49"/>
    </row>
    <row r="51" ht="12.75">
      <c r="N51" s="49"/>
    </row>
    <row r="52" spans="1:14" ht="12.75">
      <c r="A52" s="3" t="s">
        <v>103</v>
      </c>
      <c r="N52" s="49"/>
    </row>
    <row r="53" ht="12.75">
      <c r="N53" s="49"/>
    </row>
    <row r="54" ht="12.75">
      <c r="N54" s="49"/>
    </row>
    <row r="55" ht="12.75">
      <c r="N55" s="49"/>
    </row>
    <row r="56" ht="12.75">
      <c r="N56" s="49"/>
    </row>
    <row r="57" ht="12.75">
      <c r="N57" s="49"/>
    </row>
    <row r="58" ht="12.75">
      <c r="N58" s="49"/>
    </row>
    <row r="59" ht="12.75">
      <c r="N59" s="49"/>
    </row>
    <row r="60" ht="12.75">
      <c r="N60" s="49"/>
    </row>
    <row r="61" ht="12.75">
      <c r="N61" s="49"/>
    </row>
    <row r="62" ht="12.75">
      <c r="N62" s="49"/>
    </row>
    <row r="64" spans="1:13" ht="12.75">
      <c r="A64" s="47"/>
      <c r="B64" s="49"/>
      <c r="C64" s="49"/>
      <c r="D64" s="49"/>
      <c r="E64" s="49"/>
      <c r="F64" s="49"/>
      <c r="G64" s="49"/>
      <c r="H64" s="49"/>
      <c r="I64" s="49"/>
      <c r="J64" s="48"/>
      <c r="K64" s="49"/>
      <c r="L64" s="49"/>
      <c r="M64" s="49"/>
    </row>
    <row r="65" spans="1:13" ht="12.75">
      <c r="A65" s="49" t="s">
        <v>17</v>
      </c>
      <c r="B65" s="49"/>
      <c r="C65" s="49"/>
      <c r="D65" s="49"/>
      <c r="E65" s="49"/>
      <c r="F65" s="49"/>
      <c r="G65" s="49"/>
      <c r="H65" s="49"/>
      <c r="I65" s="49"/>
      <c r="J65" s="48"/>
      <c r="K65" s="49"/>
      <c r="L65" s="49"/>
      <c r="M65" s="49"/>
    </row>
    <row r="66" spans="1:13" ht="12.75">
      <c r="A66" s="49" t="s">
        <v>18</v>
      </c>
      <c r="B66" s="49"/>
      <c r="C66" s="49"/>
      <c r="D66" s="49"/>
      <c r="E66" s="49"/>
      <c r="F66" s="49"/>
      <c r="G66" s="49"/>
      <c r="H66" s="49"/>
      <c r="I66" s="49"/>
      <c r="J66" s="48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8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7" t="s">
        <v>19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 t="s">
        <v>18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M76" s="49"/>
    </row>
    <row r="77" spans="1:13" ht="12.75">
      <c r="A77" s="49"/>
      <c r="M77" s="49"/>
    </row>
  </sheetData>
  <mergeCells count="5">
    <mergeCell ref="D8:F8"/>
    <mergeCell ref="A4:P4"/>
    <mergeCell ref="A5:P5"/>
    <mergeCell ref="B7:F7"/>
    <mergeCell ref="I7:K7"/>
  </mergeCells>
  <hyperlinks>
    <hyperlink ref="P1" location="Indice!A1" display="Volver"/>
  </hyperlinks>
  <printOptions horizontalCentered="1" verticalCentered="1"/>
  <pageMargins left="0.17" right="0.17" top="0.35" bottom="0.28" header="0" footer="0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N1">
      <selection activeCell="Q1" sqref="Q1"/>
    </sheetView>
  </sheetViews>
  <sheetFormatPr defaultColWidth="11.00390625" defaultRowHeight="12.75"/>
  <cols>
    <col min="1" max="1" width="37.50390625" style="3" bestFit="1" customWidth="1"/>
    <col min="2" max="2" width="17.125" style="3" bestFit="1" customWidth="1"/>
    <col min="3" max="3" width="13.375" style="3" bestFit="1" customWidth="1"/>
    <col min="4" max="4" width="16.625" style="3" bestFit="1" customWidth="1"/>
    <col min="5" max="5" width="18.375" style="3" bestFit="1" customWidth="1"/>
    <col min="6" max="7" width="13.875" style="3" bestFit="1" customWidth="1"/>
    <col min="8" max="8" width="13.125" style="3" bestFit="1" customWidth="1"/>
    <col min="9" max="9" width="13.875" style="3" bestFit="1" customWidth="1"/>
    <col min="10" max="10" width="16.50390625" style="3" bestFit="1" customWidth="1"/>
    <col min="11" max="11" width="19.00390625" style="3" bestFit="1" customWidth="1"/>
    <col min="12" max="12" width="10.00390625" style="3" bestFit="1" customWidth="1"/>
    <col min="13" max="14" width="11.875" style="3" bestFit="1" customWidth="1"/>
    <col min="15" max="15" width="11.625" style="3" bestFit="1" customWidth="1"/>
    <col min="16" max="16" width="4.125" style="3" customWidth="1"/>
    <col min="17" max="17" width="12.50390625" style="3" bestFit="1" customWidth="1"/>
    <col min="18" max="16384" width="12.00390625" style="3" customWidth="1"/>
  </cols>
  <sheetData>
    <row r="1" spans="1:17" ht="12.75">
      <c r="A1" s="110" t="s">
        <v>153</v>
      </c>
      <c r="Q1" s="114" t="s">
        <v>160</v>
      </c>
    </row>
    <row r="2" ht="12.75">
      <c r="A2" s="110" t="s">
        <v>154</v>
      </c>
    </row>
    <row r="3" spans="1:17" ht="18">
      <c r="A3" s="186" t="s">
        <v>260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6" ht="12.75">
      <c r="A4" s="187" t="s">
        <v>91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2.75">
      <c r="A6" s="69"/>
      <c r="B6" s="69" t="s">
        <v>59</v>
      </c>
      <c r="C6" s="69" t="s">
        <v>39</v>
      </c>
      <c r="D6" s="69" t="s">
        <v>42</v>
      </c>
      <c r="E6" s="89" t="s">
        <v>43</v>
      </c>
      <c r="F6" s="118" t="s">
        <v>44</v>
      </c>
      <c r="G6" s="69" t="s">
        <v>47</v>
      </c>
      <c r="H6" s="69" t="s">
        <v>50</v>
      </c>
      <c r="I6" s="118" t="s">
        <v>44</v>
      </c>
      <c r="J6" s="69" t="s">
        <v>237</v>
      </c>
      <c r="K6" s="118" t="s">
        <v>238</v>
      </c>
      <c r="L6" s="69" t="s">
        <v>43</v>
      </c>
      <c r="M6" s="118" t="s">
        <v>44</v>
      </c>
      <c r="N6" s="69"/>
      <c r="O6" s="118" t="s">
        <v>44</v>
      </c>
      <c r="P6" s="90"/>
      <c r="Q6" s="69" t="s">
        <v>129</v>
      </c>
    </row>
    <row r="7" spans="1:17" ht="12.75">
      <c r="A7" s="72" t="s">
        <v>20</v>
      </c>
      <c r="B7" s="72" t="s">
        <v>57</v>
      </c>
      <c r="C7" s="72" t="s">
        <v>40</v>
      </c>
      <c r="D7" s="72" t="s">
        <v>239</v>
      </c>
      <c r="E7" s="67" t="s">
        <v>244</v>
      </c>
      <c r="F7" s="155" t="s">
        <v>45</v>
      </c>
      <c r="G7" s="72" t="s">
        <v>48</v>
      </c>
      <c r="H7" s="72" t="s">
        <v>51</v>
      </c>
      <c r="I7" s="155" t="s">
        <v>45</v>
      </c>
      <c r="J7" s="72" t="s">
        <v>98</v>
      </c>
      <c r="K7" s="155" t="s">
        <v>240</v>
      </c>
      <c r="L7" s="72" t="s">
        <v>54</v>
      </c>
      <c r="M7" s="155" t="s">
        <v>55</v>
      </c>
      <c r="N7" s="72" t="s">
        <v>94</v>
      </c>
      <c r="O7" s="155" t="s">
        <v>4</v>
      </c>
      <c r="P7" s="90"/>
      <c r="Q7" s="72" t="s">
        <v>130</v>
      </c>
    </row>
    <row r="8" spans="1:17" ht="12.75">
      <c r="A8" s="74"/>
      <c r="B8" s="74" t="s">
        <v>58</v>
      </c>
      <c r="C8" s="74"/>
      <c r="D8" s="74" t="s">
        <v>41</v>
      </c>
      <c r="E8" s="75" t="s">
        <v>245</v>
      </c>
      <c r="F8" s="156" t="s">
        <v>46</v>
      </c>
      <c r="G8" s="74" t="s">
        <v>45</v>
      </c>
      <c r="H8" s="74"/>
      <c r="I8" s="156" t="s">
        <v>52</v>
      </c>
      <c r="J8" s="74" t="s">
        <v>241</v>
      </c>
      <c r="K8" s="156" t="s">
        <v>242</v>
      </c>
      <c r="L8" s="74" t="s">
        <v>53</v>
      </c>
      <c r="M8" s="156" t="s">
        <v>56</v>
      </c>
      <c r="N8" s="74"/>
      <c r="O8" s="156"/>
      <c r="P8" s="90"/>
      <c r="Q8" s="74" t="s">
        <v>131</v>
      </c>
    </row>
    <row r="9" spans="3:15" ht="12.75">
      <c r="C9" s="77"/>
      <c r="D9" s="77"/>
      <c r="E9" s="77"/>
      <c r="F9" s="91"/>
      <c r="G9" s="77"/>
      <c r="H9" s="77"/>
      <c r="I9" s="91"/>
      <c r="J9" s="77"/>
      <c r="K9" s="91"/>
      <c r="L9" s="77"/>
      <c r="M9" s="91"/>
      <c r="N9" s="91"/>
      <c r="O9" s="64"/>
    </row>
    <row r="10" spans="1:17" ht="12.75">
      <c r="A10" s="78" t="s">
        <v>16</v>
      </c>
      <c r="B10" s="79">
        <v>606756.0933</v>
      </c>
      <c r="C10" s="79">
        <v>155177.5697</v>
      </c>
      <c r="D10" s="79">
        <v>48131.4463</v>
      </c>
      <c r="E10" s="79">
        <v>5318.9738</v>
      </c>
      <c r="F10" s="96">
        <v>815384.0831</v>
      </c>
      <c r="G10" s="79">
        <v>400896.2806</v>
      </c>
      <c r="H10" s="79">
        <v>123069.2998</v>
      </c>
      <c r="I10" s="96">
        <v>291418.5027</v>
      </c>
      <c r="J10" s="79">
        <v>50107.3047</v>
      </c>
      <c r="K10" s="96">
        <v>341525.8076</v>
      </c>
      <c r="L10" s="79">
        <v>-16619.561</v>
      </c>
      <c r="M10" s="96">
        <v>324906.2464</v>
      </c>
      <c r="N10" s="79">
        <v>42142.6128</v>
      </c>
      <c r="O10" s="96">
        <v>282763.6336</v>
      </c>
      <c r="P10" s="90"/>
      <c r="Q10" s="79">
        <v>137496.8221</v>
      </c>
    </row>
    <row r="11" spans="1:17" ht="12.75">
      <c r="A11" s="81" t="s">
        <v>28</v>
      </c>
      <c r="B11" s="81">
        <v>3624.62129999997</v>
      </c>
      <c r="C11" s="81">
        <v>1777.0286</v>
      </c>
      <c r="D11" s="81">
        <v>60.4036</v>
      </c>
      <c r="E11" s="81">
        <v>-641.798900000035</v>
      </c>
      <c r="F11" s="92">
        <v>4820.25459999993</v>
      </c>
      <c r="G11" s="81">
        <v>4137.9292</v>
      </c>
      <c r="H11" s="81">
        <v>-187.309100000013</v>
      </c>
      <c r="I11" s="92">
        <v>869.634499999942</v>
      </c>
      <c r="J11" s="81">
        <v>19.8051</v>
      </c>
      <c r="K11" s="92">
        <v>889.43939999999</v>
      </c>
      <c r="L11" s="81">
        <v>26.6218</v>
      </c>
      <c r="M11" s="92">
        <v>916.0614</v>
      </c>
      <c r="N11" s="81">
        <v>174.7293</v>
      </c>
      <c r="O11" s="92">
        <v>741.332</v>
      </c>
      <c r="Q11" s="81">
        <v>280.7293</v>
      </c>
    </row>
    <row r="12" spans="1:17" ht="12.75">
      <c r="A12" s="82" t="s">
        <v>25</v>
      </c>
      <c r="B12" s="82">
        <v>39523.706</v>
      </c>
      <c r="C12" s="82">
        <v>12158.0996</v>
      </c>
      <c r="D12" s="82">
        <v>4996.2187</v>
      </c>
      <c r="E12" s="82">
        <v>-1982.56390000004</v>
      </c>
      <c r="F12" s="93">
        <v>54695.4603999999</v>
      </c>
      <c r="G12" s="82">
        <v>32655.8943</v>
      </c>
      <c r="H12" s="82">
        <v>11156.0485</v>
      </c>
      <c r="I12" s="93">
        <v>10883.5175999999</v>
      </c>
      <c r="J12" s="82">
        <v>2368.3519</v>
      </c>
      <c r="K12" s="93">
        <v>13251.8694</v>
      </c>
      <c r="L12" s="82">
        <v>2582.7212</v>
      </c>
      <c r="M12" s="93">
        <v>15834.5905</v>
      </c>
      <c r="N12" s="82">
        <v>1953.3455</v>
      </c>
      <c r="O12" s="93">
        <v>13881.245</v>
      </c>
      <c r="Q12" s="82">
        <v>14673.2581</v>
      </c>
    </row>
    <row r="13" spans="1:17" ht="12.75">
      <c r="A13" s="82" t="s">
        <v>5</v>
      </c>
      <c r="B13" s="82">
        <v>11374.6706</v>
      </c>
      <c r="C13" s="82">
        <v>2946.5443</v>
      </c>
      <c r="D13" s="82">
        <v>165.9355</v>
      </c>
      <c r="E13" s="82">
        <v>1340.11089999998</v>
      </c>
      <c r="F13" s="93">
        <v>15827.2614</v>
      </c>
      <c r="G13" s="82">
        <v>10042.2691</v>
      </c>
      <c r="H13" s="82">
        <v>742.1754</v>
      </c>
      <c r="I13" s="93">
        <v>5042.81689999999</v>
      </c>
      <c r="J13" s="82">
        <v>2980.3536</v>
      </c>
      <c r="K13" s="93">
        <v>8023.17039999998</v>
      </c>
      <c r="L13" s="82">
        <v>63.814</v>
      </c>
      <c r="M13" s="93">
        <v>8086.9843</v>
      </c>
      <c r="N13" s="82">
        <v>782.6615</v>
      </c>
      <c r="O13" s="93">
        <v>7304.3228</v>
      </c>
      <c r="Q13" s="82">
        <v>864.7049</v>
      </c>
    </row>
    <row r="14" spans="1:17" ht="12.75">
      <c r="A14" s="82" t="s">
        <v>6</v>
      </c>
      <c r="B14" s="82">
        <v>40480.7351</v>
      </c>
      <c r="C14" s="82">
        <v>6750.1972</v>
      </c>
      <c r="D14" s="82">
        <v>3437.7217</v>
      </c>
      <c r="E14" s="82">
        <v>133.56719999995</v>
      </c>
      <c r="F14" s="93">
        <v>50802.2211999999</v>
      </c>
      <c r="G14" s="82">
        <v>21050.0795</v>
      </c>
      <c r="H14" s="82">
        <v>9489.7261</v>
      </c>
      <c r="I14" s="93">
        <v>20262.4155999999</v>
      </c>
      <c r="J14" s="82">
        <v>4084.5729</v>
      </c>
      <c r="K14" s="93">
        <v>24346.9887</v>
      </c>
      <c r="L14" s="82">
        <v>-966.597400000028</v>
      </c>
      <c r="M14" s="93">
        <v>23380.391</v>
      </c>
      <c r="N14" s="82">
        <v>3878.822</v>
      </c>
      <c r="O14" s="93">
        <v>19501.569</v>
      </c>
      <c r="Q14" s="82">
        <v>6660.4867</v>
      </c>
    </row>
    <row r="15" spans="1:17" ht="12.75">
      <c r="A15" s="82" t="s">
        <v>7</v>
      </c>
      <c r="B15" s="82">
        <v>128113.9736</v>
      </c>
      <c r="C15" s="82">
        <v>39472.3896</v>
      </c>
      <c r="D15" s="82">
        <v>13619.3786</v>
      </c>
      <c r="E15" s="82">
        <v>-555.423100000009</v>
      </c>
      <c r="F15" s="93">
        <v>180650.3187</v>
      </c>
      <c r="G15" s="82">
        <v>85588.2622</v>
      </c>
      <c r="H15" s="82">
        <v>21595.9815</v>
      </c>
      <c r="I15" s="93">
        <v>73466.075</v>
      </c>
      <c r="J15" s="82">
        <v>11210.8646</v>
      </c>
      <c r="K15" s="93">
        <v>84676.9395</v>
      </c>
      <c r="L15" s="82">
        <v>-1728.07990000001</v>
      </c>
      <c r="M15" s="93">
        <v>82948.8592</v>
      </c>
      <c r="N15" s="82">
        <v>6753.8841</v>
      </c>
      <c r="O15" s="93">
        <v>76194.9751</v>
      </c>
      <c r="Q15" s="82">
        <v>30927.5075</v>
      </c>
    </row>
    <row r="16" spans="1:17" ht="12.75">
      <c r="A16" s="82" t="s">
        <v>144</v>
      </c>
      <c r="B16" s="82">
        <v>94105.8656</v>
      </c>
      <c r="C16" s="82">
        <v>23742.4778</v>
      </c>
      <c r="D16" s="82">
        <v>5925.8675</v>
      </c>
      <c r="E16" s="82">
        <v>-630.111200000042</v>
      </c>
      <c r="F16" s="93">
        <v>123144.0996</v>
      </c>
      <c r="G16" s="82">
        <v>65290.7079</v>
      </c>
      <c r="H16" s="82">
        <v>13879.7523</v>
      </c>
      <c r="I16" s="93">
        <v>43973.6393999999</v>
      </c>
      <c r="J16" s="82">
        <v>7635.55859999996</v>
      </c>
      <c r="K16" s="93">
        <v>51609.1979</v>
      </c>
      <c r="L16" s="82">
        <v>-2662.8003</v>
      </c>
      <c r="M16" s="93">
        <v>48946.3974</v>
      </c>
      <c r="N16" s="82">
        <v>7658.4835</v>
      </c>
      <c r="O16" s="93">
        <v>41287.9138</v>
      </c>
      <c r="Q16" s="82">
        <v>21782.6103</v>
      </c>
    </row>
    <row r="17" spans="1:17" ht="12.75">
      <c r="A17" s="82" t="s">
        <v>8</v>
      </c>
      <c r="B17" s="82">
        <v>27141.1576</v>
      </c>
      <c r="C17" s="82">
        <v>7578.8596</v>
      </c>
      <c r="D17" s="82">
        <v>2056.9799</v>
      </c>
      <c r="E17" s="82">
        <v>-88.3929000000225</v>
      </c>
      <c r="F17" s="93">
        <v>36688.6042</v>
      </c>
      <c r="G17" s="82">
        <v>18700.0895</v>
      </c>
      <c r="H17" s="82">
        <v>9868.4686</v>
      </c>
      <c r="I17" s="93">
        <v>8120.04609999998</v>
      </c>
      <c r="J17" s="82">
        <v>353.5669</v>
      </c>
      <c r="K17" s="93">
        <v>8473.61339999998</v>
      </c>
      <c r="L17" s="82">
        <v>-616.041200000036</v>
      </c>
      <c r="M17" s="93">
        <v>7857.5719</v>
      </c>
      <c r="N17" s="82">
        <v>1027.3066</v>
      </c>
      <c r="O17" s="93">
        <v>6830.2653</v>
      </c>
      <c r="Q17" s="82">
        <v>4244.5776</v>
      </c>
    </row>
    <row r="18" spans="1:17" ht="12.75">
      <c r="A18" s="82" t="s">
        <v>31</v>
      </c>
      <c r="B18" s="82">
        <v>-2238.61539999999</v>
      </c>
      <c r="C18" s="82">
        <v>-80.8859999999986</v>
      </c>
      <c r="D18" s="82">
        <v>0</v>
      </c>
      <c r="E18" s="82">
        <v>6456.3131</v>
      </c>
      <c r="F18" s="93">
        <v>4136.81170000001</v>
      </c>
      <c r="G18" s="82">
        <v>1791.879</v>
      </c>
      <c r="H18" s="82">
        <v>-0.0593000000226311</v>
      </c>
      <c r="I18" s="93">
        <v>2344.99200000003</v>
      </c>
      <c r="J18" s="82">
        <v>0</v>
      </c>
      <c r="K18" s="93">
        <v>2344.99210000002</v>
      </c>
      <c r="L18" s="82">
        <v>0</v>
      </c>
      <c r="M18" s="93">
        <v>2344.992</v>
      </c>
      <c r="N18" s="82">
        <v>372.3546</v>
      </c>
      <c r="O18" s="93">
        <v>1972.6374</v>
      </c>
      <c r="Q18" s="82">
        <v>0</v>
      </c>
    </row>
    <row r="19" spans="1:17" ht="12.75">
      <c r="A19" s="82" t="s">
        <v>11</v>
      </c>
      <c r="B19" s="82">
        <v>15330.7938</v>
      </c>
      <c r="C19" s="82">
        <v>2020.0913</v>
      </c>
      <c r="D19" s="82">
        <v>544.2452</v>
      </c>
      <c r="E19" s="82">
        <v>-363.35610000002</v>
      </c>
      <c r="F19" s="93">
        <v>17531.7742</v>
      </c>
      <c r="G19" s="82">
        <v>7414.7516</v>
      </c>
      <c r="H19" s="82">
        <v>3365.8707</v>
      </c>
      <c r="I19" s="93">
        <v>6751.15189999997</v>
      </c>
      <c r="J19" s="82">
        <v>3.7112</v>
      </c>
      <c r="K19" s="93">
        <v>6754.86339999998</v>
      </c>
      <c r="L19" s="82">
        <v>59.3662</v>
      </c>
      <c r="M19" s="93">
        <v>6814.2295</v>
      </c>
      <c r="N19" s="82">
        <v>1193.7491</v>
      </c>
      <c r="O19" s="93">
        <v>5620.4803</v>
      </c>
      <c r="Q19" s="82">
        <v>3439.6907</v>
      </c>
    </row>
    <row r="20" spans="1:17" ht="12.75">
      <c r="A20" s="82" t="s">
        <v>24</v>
      </c>
      <c r="B20" s="82">
        <v>2301.60209999996</v>
      </c>
      <c r="C20" s="82">
        <v>144.6283</v>
      </c>
      <c r="D20" s="82">
        <v>205.0055</v>
      </c>
      <c r="E20" s="82">
        <v>560.378299999965</v>
      </c>
      <c r="F20" s="93">
        <v>3211.61409999992</v>
      </c>
      <c r="G20" s="82">
        <v>2895.9432</v>
      </c>
      <c r="H20" s="82">
        <v>384.8538</v>
      </c>
      <c r="I20" s="93">
        <v>-69.1829000000795</v>
      </c>
      <c r="J20" s="82">
        <v>-3.89530000003288</v>
      </c>
      <c r="K20" s="93">
        <v>-73.0781000000684</v>
      </c>
      <c r="L20" s="82">
        <v>0.0001</v>
      </c>
      <c r="M20" s="93">
        <v>-73.0780000000377</v>
      </c>
      <c r="N20" s="82">
        <v>-107.657200000016</v>
      </c>
      <c r="O20" s="93">
        <v>34.5791</v>
      </c>
      <c r="Q20" s="82">
        <v>720.8524</v>
      </c>
    </row>
    <row r="21" spans="1:17" ht="12.75">
      <c r="A21" s="82" t="s">
        <v>29</v>
      </c>
      <c r="B21" s="82">
        <v>-9.16740000002483</v>
      </c>
      <c r="C21" s="82">
        <v>-20.4095000000088</v>
      </c>
      <c r="D21" s="82">
        <v>0</v>
      </c>
      <c r="E21" s="82">
        <v>3507.68219999996</v>
      </c>
      <c r="F21" s="93">
        <v>3478.1052999999</v>
      </c>
      <c r="G21" s="82">
        <v>2488.5766</v>
      </c>
      <c r="H21" s="82">
        <v>-470.581000000006</v>
      </c>
      <c r="I21" s="93">
        <v>1460.10969999991</v>
      </c>
      <c r="J21" s="82">
        <v>2.4969</v>
      </c>
      <c r="K21" s="93">
        <v>1462.60659999994</v>
      </c>
      <c r="L21" s="82">
        <v>30.9608</v>
      </c>
      <c r="M21" s="93">
        <v>1493.5672</v>
      </c>
      <c r="N21" s="82">
        <v>254.2729</v>
      </c>
      <c r="O21" s="93">
        <v>1239.2943</v>
      </c>
      <c r="Q21" s="82">
        <v>0</v>
      </c>
    </row>
    <row r="22" spans="1:17" ht="12.75">
      <c r="A22" s="82" t="s">
        <v>9</v>
      </c>
      <c r="B22" s="82">
        <v>3604.4053</v>
      </c>
      <c r="C22" s="82">
        <v>433.5048</v>
      </c>
      <c r="D22" s="82">
        <v>28.9956</v>
      </c>
      <c r="E22" s="82">
        <v>-33.1798000000316</v>
      </c>
      <c r="F22" s="93">
        <v>4033.72589999994</v>
      </c>
      <c r="G22" s="82">
        <v>2821.087</v>
      </c>
      <c r="H22" s="82">
        <v>278.5449</v>
      </c>
      <c r="I22" s="93">
        <v>934.093999999938</v>
      </c>
      <c r="J22" s="82">
        <v>25.1603</v>
      </c>
      <c r="K22" s="93">
        <v>959.254399999968</v>
      </c>
      <c r="L22" s="82">
        <v>-56.3673000000417</v>
      </c>
      <c r="M22" s="93">
        <v>902.8869</v>
      </c>
      <c r="N22" s="82">
        <v>58.5884</v>
      </c>
      <c r="O22" s="93">
        <v>844.2985</v>
      </c>
      <c r="Q22" s="82">
        <v>83.7603</v>
      </c>
    </row>
    <row r="23" spans="1:17" ht="12.75">
      <c r="A23" s="82" t="s">
        <v>26</v>
      </c>
      <c r="B23" s="82">
        <v>501.203</v>
      </c>
      <c r="C23" s="82">
        <v>18.1761</v>
      </c>
      <c r="D23" s="82">
        <v>0</v>
      </c>
      <c r="E23" s="82">
        <v>-44.9236000000383</v>
      </c>
      <c r="F23" s="93">
        <v>474.455499999962</v>
      </c>
      <c r="G23" s="82">
        <v>663.9153</v>
      </c>
      <c r="H23" s="82">
        <v>-5.07070000004023</v>
      </c>
      <c r="I23" s="93">
        <v>-184.389099999998</v>
      </c>
      <c r="J23" s="82">
        <v>164.3833</v>
      </c>
      <c r="K23" s="93">
        <v>-20.0057999999961</v>
      </c>
      <c r="L23" s="82">
        <v>57.9479</v>
      </c>
      <c r="M23" s="93">
        <v>37.9422</v>
      </c>
      <c r="N23" s="82">
        <v>7.9818</v>
      </c>
      <c r="O23" s="93">
        <v>29.9604</v>
      </c>
      <c r="Q23" s="82">
        <v>0</v>
      </c>
    </row>
    <row r="24" spans="1:17" ht="12.75">
      <c r="A24" s="82" t="s">
        <v>108</v>
      </c>
      <c r="B24" s="82">
        <v>7323.3727</v>
      </c>
      <c r="C24" s="82">
        <v>2852.7456</v>
      </c>
      <c r="D24" s="82">
        <v>174.61</v>
      </c>
      <c r="E24" s="82">
        <v>-59.3486000000171</v>
      </c>
      <c r="F24" s="93">
        <v>10291.3797</v>
      </c>
      <c r="G24" s="82">
        <v>5094.5167</v>
      </c>
      <c r="H24" s="82">
        <v>2895.758</v>
      </c>
      <c r="I24" s="93">
        <v>2301.10499999998</v>
      </c>
      <c r="J24" s="82">
        <v>0</v>
      </c>
      <c r="K24" s="93">
        <v>2301.10489999998</v>
      </c>
      <c r="L24" s="82">
        <v>20.8403</v>
      </c>
      <c r="M24" s="93">
        <v>2321.9452</v>
      </c>
      <c r="N24" s="82">
        <v>394.7315</v>
      </c>
      <c r="O24" s="93">
        <v>1927.2136</v>
      </c>
      <c r="Q24" s="82">
        <v>2909.0035</v>
      </c>
    </row>
    <row r="25" spans="1:17" ht="12.75">
      <c r="A25" s="82" t="s">
        <v>30</v>
      </c>
      <c r="B25" s="82">
        <v>111.2011</v>
      </c>
      <c r="C25" s="82">
        <v>685.9818</v>
      </c>
      <c r="D25" s="82">
        <v>0</v>
      </c>
      <c r="E25" s="82">
        <v>183.006699999965</v>
      </c>
      <c r="F25" s="93">
        <v>980.189599999965</v>
      </c>
      <c r="G25" s="82">
        <v>3129.9147</v>
      </c>
      <c r="H25" s="82">
        <v>0</v>
      </c>
      <c r="I25" s="93">
        <v>-2149.72510000003</v>
      </c>
      <c r="J25" s="82">
        <v>-48.3978000000352</v>
      </c>
      <c r="K25" s="93">
        <v>-2198.12280000007</v>
      </c>
      <c r="L25" s="82">
        <v>27.341</v>
      </c>
      <c r="M25" s="93">
        <v>-2170.78169999999</v>
      </c>
      <c r="N25" s="82">
        <v>-335.181400000001</v>
      </c>
      <c r="O25" s="93">
        <v>-1835.60020000004</v>
      </c>
      <c r="Q25" s="82">
        <v>0</v>
      </c>
    </row>
    <row r="26" spans="1:17" ht="12.75">
      <c r="A26" s="82" t="s">
        <v>22</v>
      </c>
      <c r="B26" s="82">
        <v>5888.33179999999</v>
      </c>
      <c r="C26" s="82">
        <v>1066.8795</v>
      </c>
      <c r="D26" s="82">
        <v>0.0125</v>
      </c>
      <c r="E26" s="82">
        <v>122.134199999989</v>
      </c>
      <c r="F26" s="93">
        <v>7077.35799999998</v>
      </c>
      <c r="G26" s="82">
        <v>5034.2159</v>
      </c>
      <c r="H26" s="82">
        <v>1566.6194</v>
      </c>
      <c r="I26" s="93">
        <v>476.522699999984</v>
      </c>
      <c r="J26" s="82">
        <v>124.6105</v>
      </c>
      <c r="K26" s="93">
        <v>601.13339999999</v>
      </c>
      <c r="L26" s="82">
        <v>126.967</v>
      </c>
      <c r="M26" s="93">
        <v>728.1003</v>
      </c>
      <c r="N26" s="82">
        <v>0</v>
      </c>
      <c r="O26" s="93">
        <v>728.1003</v>
      </c>
      <c r="Q26" s="82">
        <v>1818.9598</v>
      </c>
    </row>
    <row r="27" spans="1:17" ht="12.75">
      <c r="A27" s="82" t="s">
        <v>10</v>
      </c>
      <c r="B27" s="82">
        <v>193994.1575</v>
      </c>
      <c r="C27" s="82">
        <v>45807.2375</v>
      </c>
      <c r="D27" s="82">
        <v>15155.3208</v>
      </c>
      <c r="E27" s="82">
        <v>-3322.64750000004</v>
      </c>
      <c r="F27" s="93">
        <v>251634.0684</v>
      </c>
      <c r="G27" s="82">
        <v>105721.5828</v>
      </c>
      <c r="H27" s="82">
        <v>39822.1964</v>
      </c>
      <c r="I27" s="93">
        <v>106090.2892</v>
      </c>
      <c r="J27" s="82">
        <v>16791.1833</v>
      </c>
      <c r="K27" s="93">
        <v>122881.4725</v>
      </c>
      <c r="L27" s="82">
        <v>-13963.2434</v>
      </c>
      <c r="M27" s="93">
        <v>108918.2288</v>
      </c>
      <c r="N27" s="82">
        <v>16498.9141</v>
      </c>
      <c r="O27" s="93">
        <v>92419.3146</v>
      </c>
      <c r="Q27" s="82">
        <v>42395.85</v>
      </c>
    </row>
    <row r="28" spans="1:17" ht="12.75">
      <c r="A28" s="82" t="s">
        <v>32</v>
      </c>
      <c r="B28" s="82">
        <v>18374.9406</v>
      </c>
      <c r="C28" s="82">
        <v>2693.5963</v>
      </c>
      <c r="D28" s="82">
        <v>507.9228</v>
      </c>
      <c r="E28" s="82">
        <v>1300.348</v>
      </c>
      <c r="F28" s="93">
        <v>22876.8077</v>
      </c>
      <c r="G28" s="82">
        <v>10851.7923</v>
      </c>
      <c r="H28" s="82">
        <v>3851.0162</v>
      </c>
      <c r="I28" s="93">
        <v>8173.99919999999</v>
      </c>
      <c r="J28" s="82">
        <v>2457.7244</v>
      </c>
      <c r="K28" s="93">
        <v>10631.724</v>
      </c>
      <c r="L28" s="82">
        <v>-915.252399999998</v>
      </c>
      <c r="M28" s="93">
        <v>9716.4715</v>
      </c>
      <c r="N28" s="82">
        <v>1000</v>
      </c>
      <c r="O28" s="93">
        <v>8716.4715</v>
      </c>
      <c r="Q28" s="82">
        <v>3115.7089</v>
      </c>
    </row>
    <row r="29" spans="1:17" ht="12.75">
      <c r="A29" s="83" t="s">
        <v>21</v>
      </c>
      <c r="B29" s="83">
        <v>17209.1383</v>
      </c>
      <c r="C29" s="83">
        <v>5130.4267</v>
      </c>
      <c r="D29" s="83">
        <v>1252.8275</v>
      </c>
      <c r="E29" s="83">
        <v>-562.82060000004</v>
      </c>
      <c r="F29" s="94">
        <v>23029.5718999999</v>
      </c>
      <c r="G29" s="83">
        <v>15522.8728</v>
      </c>
      <c r="H29" s="83">
        <v>4835.3074</v>
      </c>
      <c r="I29" s="94">
        <v>2671.39169999991</v>
      </c>
      <c r="J29" s="83">
        <v>1937.2539</v>
      </c>
      <c r="K29" s="94">
        <v>4608.64579999996</v>
      </c>
      <c r="L29" s="83">
        <v>1292.2404</v>
      </c>
      <c r="M29" s="94">
        <v>5900.8861</v>
      </c>
      <c r="N29" s="83">
        <v>575.6258</v>
      </c>
      <c r="O29" s="94">
        <v>5325.2602</v>
      </c>
      <c r="Q29" s="83">
        <v>3579.1215</v>
      </c>
    </row>
    <row r="30" spans="6:15" ht="12.75">
      <c r="F30" s="64"/>
      <c r="I30" s="64"/>
      <c r="K30" s="64"/>
      <c r="M30" s="64"/>
      <c r="O30" s="64"/>
    </row>
    <row r="31" spans="1:17" ht="12.75">
      <c r="A31" s="79" t="s">
        <v>143</v>
      </c>
      <c r="B31" s="79">
        <v>99257.2834999999</v>
      </c>
      <c r="C31" s="79">
        <v>28167.0366</v>
      </c>
      <c r="D31" s="79">
        <v>8539.8397</v>
      </c>
      <c r="E31" s="79">
        <v>8098.1201</v>
      </c>
      <c r="F31" s="96">
        <v>144062.2799</v>
      </c>
      <c r="G31" s="79">
        <v>85733.9345</v>
      </c>
      <c r="H31" s="79">
        <v>22889.5501</v>
      </c>
      <c r="I31" s="96">
        <v>35438.7953</v>
      </c>
      <c r="J31" s="79">
        <v>4402.8071</v>
      </c>
      <c r="K31" s="96">
        <v>39841.6025</v>
      </c>
      <c r="L31" s="79">
        <v>-1138.23450000002</v>
      </c>
      <c r="M31" s="96">
        <v>38703.3679</v>
      </c>
      <c r="N31" s="79">
        <v>21200.5665</v>
      </c>
      <c r="O31" s="96">
        <v>17502.8014</v>
      </c>
      <c r="P31" s="80"/>
      <c r="Q31" s="79">
        <v>16753.4769</v>
      </c>
    </row>
    <row r="32" spans="1:17" ht="12.75">
      <c r="A32" s="80"/>
      <c r="B32" s="80"/>
      <c r="C32" s="80"/>
      <c r="D32" s="80"/>
      <c r="E32" s="80"/>
      <c r="F32" s="64"/>
      <c r="G32" s="80"/>
      <c r="H32" s="80"/>
      <c r="I32" s="64"/>
      <c r="J32" s="80"/>
      <c r="K32" s="64"/>
      <c r="L32" s="80"/>
      <c r="M32" s="64"/>
      <c r="N32" s="80"/>
      <c r="O32" s="64"/>
      <c r="P32" s="80"/>
      <c r="Q32" s="80"/>
    </row>
    <row r="33" spans="1:17" ht="12.75">
      <c r="A33" s="79" t="s">
        <v>23</v>
      </c>
      <c r="B33" s="79">
        <v>80787.1665</v>
      </c>
      <c r="C33" s="79">
        <v>11386.8627</v>
      </c>
      <c r="D33" s="79">
        <v>2846.1022</v>
      </c>
      <c r="E33" s="79">
        <v>2867.75279999996</v>
      </c>
      <c r="F33" s="96">
        <v>97887.8841999999</v>
      </c>
      <c r="G33" s="79">
        <v>60550.4419</v>
      </c>
      <c r="H33" s="79">
        <v>6930.5702</v>
      </c>
      <c r="I33" s="96">
        <v>30406.8720999999</v>
      </c>
      <c r="J33" s="79">
        <v>3169.0243</v>
      </c>
      <c r="K33" s="96">
        <v>33575.8965999999</v>
      </c>
      <c r="L33" s="79">
        <v>1966.0548</v>
      </c>
      <c r="M33" s="96">
        <v>35541.9512</v>
      </c>
      <c r="N33" s="79">
        <v>6455.1869</v>
      </c>
      <c r="O33" s="96">
        <v>29086.7642</v>
      </c>
      <c r="P33" s="80"/>
      <c r="Q33" s="79">
        <v>11732.3911</v>
      </c>
    </row>
    <row r="34" spans="1:17" ht="12.75">
      <c r="A34" s="82" t="s">
        <v>34</v>
      </c>
      <c r="B34" s="81">
        <v>21034.591</v>
      </c>
      <c r="C34" s="82">
        <v>3984.6662</v>
      </c>
      <c r="D34" s="82">
        <v>522.2022</v>
      </c>
      <c r="E34" s="82">
        <v>631.057299999978</v>
      </c>
      <c r="F34" s="93">
        <v>26172.5167</v>
      </c>
      <c r="G34" s="82">
        <v>17185.051</v>
      </c>
      <c r="H34" s="82">
        <v>3130.6609</v>
      </c>
      <c r="I34" s="93">
        <v>5856.80479999999</v>
      </c>
      <c r="J34" s="82">
        <v>837.081</v>
      </c>
      <c r="K34" s="93">
        <v>6693.88609999998</v>
      </c>
      <c r="L34" s="82">
        <v>402.0756</v>
      </c>
      <c r="M34" s="93">
        <v>7095.9614</v>
      </c>
      <c r="N34" s="82">
        <v>857.5362</v>
      </c>
      <c r="O34" s="92">
        <v>6238.4252</v>
      </c>
      <c r="Q34" s="81">
        <v>6431.3129</v>
      </c>
    </row>
    <row r="35" spans="1:17" ht="12.75">
      <c r="A35" s="82" t="s">
        <v>12</v>
      </c>
      <c r="B35" s="82">
        <v>32944.7276</v>
      </c>
      <c r="C35" s="82">
        <v>7279.1564</v>
      </c>
      <c r="D35" s="82">
        <v>2313.6139</v>
      </c>
      <c r="E35" s="82">
        <v>965.808399999976</v>
      </c>
      <c r="F35" s="93">
        <v>43503.3063</v>
      </c>
      <c r="G35" s="82">
        <v>39405.6044</v>
      </c>
      <c r="H35" s="82">
        <v>3726.9164</v>
      </c>
      <c r="I35" s="93">
        <v>370.785499999956</v>
      </c>
      <c r="J35" s="82">
        <v>2331.9433</v>
      </c>
      <c r="K35" s="93">
        <v>2702.72879999998</v>
      </c>
      <c r="L35" s="82">
        <v>1633.4043</v>
      </c>
      <c r="M35" s="93">
        <v>4336.1331</v>
      </c>
      <c r="N35" s="82">
        <v>1274.1579</v>
      </c>
      <c r="O35" s="93">
        <v>3061.9751</v>
      </c>
      <c r="Q35" s="82">
        <v>5198.4199</v>
      </c>
    </row>
    <row r="36" spans="1:17" ht="12.75">
      <c r="A36" s="82" t="s">
        <v>14</v>
      </c>
      <c r="B36" s="82">
        <v>448.3184</v>
      </c>
      <c r="C36" s="82">
        <v>22.0193</v>
      </c>
      <c r="D36" s="82">
        <v>6.5057</v>
      </c>
      <c r="E36" s="82">
        <v>-79.6407000000458</v>
      </c>
      <c r="F36" s="93">
        <v>397.202699999954</v>
      </c>
      <c r="G36" s="82">
        <v>275.2249</v>
      </c>
      <c r="H36" s="82">
        <v>81.5413</v>
      </c>
      <c r="I36" s="93">
        <v>40.4364999999542</v>
      </c>
      <c r="J36" s="82">
        <v>0</v>
      </c>
      <c r="K36" s="93">
        <v>40.4366999999542</v>
      </c>
      <c r="L36" s="82">
        <v>-227.852500000037</v>
      </c>
      <c r="M36" s="93">
        <v>-187.416000000027</v>
      </c>
      <c r="N36" s="82">
        <v>0</v>
      </c>
      <c r="O36" s="93">
        <v>-187.416000000027</v>
      </c>
      <c r="Q36" s="82">
        <v>102.6583</v>
      </c>
    </row>
    <row r="37" spans="1:17" ht="12.75">
      <c r="A37" s="82" t="s">
        <v>13</v>
      </c>
      <c r="B37" s="82">
        <v>537.1708</v>
      </c>
      <c r="C37" s="82">
        <v>30.3911</v>
      </c>
      <c r="D37" s="82">
        <v>3.7803</v>
      </c>
      <c r="E37" s="82">
        <v>-137.077000000048</v>
      </c>
      <c r="F37" s="93">
        <v>434.265199999952</v>
      </c>
      <c r="G37" s="82">
        <v>796.6325</v>
      </c>
      <c r="H37" s="82">
        <v>-9.43280000000959</v>
      </c>
      <c r="I37" s="93">
        <v>-352.934500000039</v>
      </c>
      <c r="J37" s="82">
        <v>0</v>
      </c>
      <c r="K37" s="93">
        <v>-352.934400000055</v>
      </c>
      <c r="L37" s="82">
        <v>6.8908</v>
      </c>
      <c r="M37" s="93">
        <v>-346.043500000029</v>
      </c>
      <c r="N37" s="82">
        <v>0.1778</v>
      </c>
      <c r="O37" s="93">
        <v>-346.221300000034</v>
      </c>
      <c r="Q37" s="82">
        <v>0</v>
      </c>
    </row>
    <row r="38" spans="1:17" ht="12.75">
      <c r="A38" s="82" t="s">
        <v>35</v>
      </c>
      <c r="B38" s="82">
        <v>836.5873</v>
      </c>
      <c r="C38" s="82">
        <v>61.1866</v>
      </c>
      <c r="D38" s="82">
        <v>0</v>
      </c>
      <c r="E38" s="82">
        <v>-92.0467000000402</v>
      </c>
      <c r="F38" s="93">
        <v>805.72719999996</v>
      </c>
      <c r="G38" s="82">
        <v>485.1947</v>
      </c>
      <c r="H38" s="82">
        <v>-40.7210000000196</v>
      </c>
      <c r="I38" s="93">
        <v>361.253499999979</v>
      </c>
      <c r="J38" s="82">
        <v>0</v>
      </c>
      <c r="K38" s="93">
        <v>361.253599999979</v>
      </c>
      <c r="L38" s="82">
        <v>-22.2992000000086</v>
      </c>
      <c r="M38" s="93">
        <v>338.9542</v>
      </c>
      <c r="N38" s="82">
        <v>0</v>
      </c>
      <c r="O38" s="93">
        <v>338.9542</v>
      </c>
      <c r="Q38" s="82">
        <v>0</v>
      </c>
    </row>
    <row r="39" spans="1:17" ht="12.75">
      <c r="A39" s="83" t="s">
        <v>33</v>
      </c>
      <c r="B39" s="83">
        <v>24985.7713</v>
      </c>
      <c r="C39" s="83">
        <v>9.4428</v>
      </c>
      <c r="D39" s="83">
        <v>0</v>
      </c>
      <c r="E39" s="83">
        <v>1579.65149999996</v>
      </c>
      <c r="F39" s="94">
        <v>26574.8656</v>
      </c>
      <c r="G39" s="83">
        <v>2402.7341</v>
      </c>
      <c r="H39" s="83">
        <v>41.6053</v>
      </c>
      <c r="I39" s="94">
        <v>24130.5262</v>
      </c>
      <c r="J39" s="83">
        <v>0</v>
      </c>
      <c r="K39" s="94">
        <v>24130.5263</v>
      </c>
      <c r="L39" s="83">
        <v>173.8358</v>
      </c>
      <c r="M39" s="94">
        <v>24304.3619</v>
      </c>
      <c r="N39" s="83">
        <v>4323.3149</v>
      </c>
      <c r="O39" s="94">
        <v>19981.047</v>
      </c>
      <c r="Q39" s="83">
        <v>0</v>
      </c>
    </row>
    <row r="41" spans="1:17" ht="12.75">
      <c r="A41" s="78" t="s">
        <v>15</v>
      </c>
      <c r="B41" s="79">
        <v>786800.5433</v>
      </c>
      <c r="C41" s="79">
        <v>194731.4691</v>
      </c>
      <c r="D41" s="79">
        <v>59517.3884</v>
      </c>
      <c r="E41" s="79">
        <v>16284.8465</v>
      </c>
      <c r="F41" s="96">
        <v>1057334.2473</v>
      </c>
      <c r="G41" s="79">
        <v>547180.657</v>
      </c>
      <c r="H41" s="79">
        <v>152889.4202</v>
      </c>
      <c r="I41" s="96">
        <v>357264.1701</v>
      </c>
      <c r="J41" s="79">
        <v>57679.1363</v>
      </c>
      <c r="K41" s="96">
        <v>414943.306500001</v>
      </c>
      <c r="L41" s="79">
        <v>-15791.7407</v>
      </c>
      <c r="M41" s="96">
        <v>399151.5657</v>
      </c>
      <c r="N41" s="79">
        <v>69798.3663</v>
      </c>
      <c r="O41" s="96">
        <v>329353.1993</v>
      </c>
      <c r="P41" s="45"/>
      <c r="Q41" s="79">
        <v>165982.6902</v>
      </c>
    </row>
    <row r="42" spans="1:17" ht="12.75">
      <c r="A42" s="86"/>
      <c r="B42" s="87"/>
      <c r="C42" s="87"/>
      <c r="D42" s="87"/>
      <c r="E42" s="87"/>
      <c r="F42" s="34"/>
      <c r="G42" s="87"/>
      <c r="H42" s="87"/>
      <c r="I42" s="34"/>
      <c r="J42" s="87"/>
      <c r="K42" s="34"/>
      <c r="L42" s="87"/>
      <c r="M42" s="34"/>
      <c r="N42" s="95"/>
      <c r="O42" s="34"/>
      <c r="P42" s="6"/>
      <c r="Q42" s="87"/>
    </row>
    <row r="43" spans="1:16" ht="12.75">
      <c r="A43" s="86" t="s">
        <v>27</v>
      </c>
      <c r="F43" s="64"/>
      <c r="I43" s="64"/>
      <c r="K43" s="64"/>
      <c r="M43" s="64"/>
      <c r="O43" s="64"/>
      <c r="P43" s="6"/>
    </row>
    <row r="44" spans="1:17" ht="12.75">
      <c r="A44" s="88" t="s">
        <v>142</v>
      </c>
      <c r="B44" s="88">
        <v>17242.3392</v>
      </c>
      <c r="C44" s="88">
        <v>1101.6082</v>
      </c>
      <c r="D44" s="88">
        <v>1674.8725</v>
      </c>
      <c r="E44" s="88">
        <v>-1012.74569999999</v>
      </c>
      <c r="F44" s="96">
        <v>19006.0743</v>
      </c>
      <c r="G44" s="88">
        <v>10285.4638</v>
      </c>
      <c r="H44" s="88">
        <v>3624.3556</v>
      </c>
      <c r="I44" s="96">
        <v>5096.25490000001</v>
      </c>
      <c r="J44" s="88">
        <v>1.665</v>
      </c>
      <c r="K44" s="96">
        <v>5097.91990000001</v>
      </c>
      <c r="L44" s="88">
        <v>171.8296</v>
      </c>
      <c r="M44" s="96">
        <v>5269.7496</v>
      </c>
      <c r="N44" s="88">
        <v>883.4565</v>
      </c>
      <c r="O44" s="96">
        <v>4386.293</v>
      </c>
      <c r="P44" s="6"/>
      <c r="Q44" s="88">
        <v>4019.3795</v>
      </c>
    </row>
    <row r="45" spans="1:17" ht="12.75">
      <c r="A45" s="88" t="s">
        <v>141</v>
      </c>
      <c r="B45" s="88">
        <v>76863.5265</v>
      </c>
      <c r="C45" s="88">
        <v>22640.8695</v>
      </c>
      <c r="D45" s="88">
        <v>4250.9949</v>
      </c>
      <c r="E45" s="88">
        <v>382.634299999978</v>
      </c>
      <c r="F45" s="96">
        <v>104138.0252</v>
      </c>
      <c r="G45" s="88">
        <v>55000.8579</v>
      </c>
      <c r="H45" s="88">
        <v>10255.3967</v>
      </c>
      <c r="I45" s="96">
        <v>38881.7706</v>
      </c>
      <c r="J45" s="88">
        <v>12015.8004</v>
      </c>
      <c r="K45" s="96">
        <v>50897.571</v>
      </c>
      <c r="L45" s="88">
        <v>-2834.63</v>
      </c>
      <c r="M45" s="96">
        <v>48062.9408</v>
      </c>
      <c r="N45" s="88">
        <v>6775.0269</v>
      </c>
      <c r="O45" s="96">
        <v>41287.9138</v>
      </c>
      <c r="P45" s="6"/>
      <c r="Q45" s="88">
        <v>17763.2307</v>
      </c>
    </row>
    <row r="46" ht="12.75">
      <c r="A46" s="45"/>
    </row>
    <row r="47" spans="1:15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ht="12.75">
      <c r="A48" s="3" t="s">
        <v>140</v>
      </c>
    </row>
    <row r="49" ht="12.75">
      <c r="A49" s="3" t="s">
        <v>243</v>
      </c>
    </row>
    <row r="51" ht="12.75">
      <c r="A51" s="3" t="s">
        <v>103</v>
      </c>
    </row>
  </sheetData>
  <mergeCells count="2">
    <mergeCell ref="A4:P4"/>
    <mergeCell ref="A3:Q3"/>
  </mergeCells>
  <hyperlinks>
    <hyperlink ref="Q1" location="Indice!A1" display="Volver"/>
  </hyperlinks>
  <printOptions horizontalCentered="1" verticalCentered="1"/>
  <pageMargins left="0.1968503937007874" right="0.1968503937007874" top="0.23" bottom="0.23" header="0" footer="0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B1">
      <selection activeCell="L1" sqref="L1"/>
    </sheetView>
  </sheetViews>
  <sheetFormatPr defaultColWidth="11.00390625" defaultRowHeight="12.75"/>
  <cols>
    <col min="1" max="1" width="37.125" style="3" customWidth="1"/>
    <col min="2" max="5" width="14.125" style="3" bestFit="1" customWidth="1"/>
    <col min="6" max="6" width="17.875" style="3" bestFit="1" customWidth="1"/>
    <col min="7" max="7" width="23.50390625" style="3" bestFit="1" customWidth="1"/>
    <col min="8" max="8" width="22.625" style="3" bestFit="1" customWidth="1"/>
    <col min="9" max="9" width="25.875" style="3" bestFit="1" customWidth="1"/>
    <col min="10" max="10" width="24.00390625" style="3" bestFit="1" customWidth="1"/>
    <col min="11" max="11" width="19.00390625" style="3" bestFit="1" customWidth="1"/>
    <col min="12" max="12" width="21.625" style="3" bestFit="1" customWidth="1"/>
    <col min="13" max="16384" width="12.00390625" style="3" customWidth="1"/>
  </cols>
  <sheetData>
    <row r="1" spans="1:12" ht="12.75">
      <c r="A1" s="110" t="s">
        <v>153</v>
      </c>
      <c r="L1" s="114" t="s">
        <v>160</v>
      </c>
    </row>
    <row r="2" spans="1:12" ht="12.75">
      <c r="A2" s="110" t="s">
        <v>154</v>
      </c>
      <c r="L2" s="114"/>
    </row>
    <row r="3" spans="1:12" ht="18">
      <c r="A3" s="186" t="s">
        <v>261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.75">
      <c r="A4" s="187" t="s">
        <v>92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69"/>
      <c r="B6" s="183" t="s">
        <v>149</v>
      </c>
      <c r="C6" s="184"/>
      <c r="D6" s="184"/>
      <c r="E6" s="184"/>
      <c r="F6" s="185"/>
      <c r="G6" s="183" t="s">
        <v>86</v>
      </c>
      <c r="H6" s="185"/>
      <c r="I6" s="183" t="s">
        <v>90</v>
      </c>
      <c r="J6" s="185"/>
      <c r="K6" s="183" t="s">
        <v>150</v>
      </c>
      <c r="L6" s="185"/>
    </row>
    <row r="7" spans="1:12" ht="12.75">
      <c r="A7" s="72" t="s">
        <v>20</v>
      </c>
      <c r="B7" s="183" t="s">
        <v>0</v>
      </c>
      <c r="C7" s="184"/>
      <c r="D7" s="184"/>
      <c r="E7" s="184"/>
      <c r="F7" s="185"/>
      <c r="G7" s="97" t="s">
        <v>88</v>
      </c>
      <c r="H7" s="98" t="s">
        <v>89</v>
      </c>
      <c r="I7" s="98" t="s">
        <v>109</v>
      </c>
      <c r="J7" s="98" t="s">
        <v>109</v>
      </c>
      <c r="K7" s="72" t="s">
        <v>110</v>
      </c>
      <c r="L7" s="72" t="s">
        <v>111</v>
      </c>
    </row>
    <row r="8" spans="1:12" ht="12.75">
      <c r="A8" s="74"/>
      <c r="B8" s="75" t="s">
        <v>96</v>
      </c>
      <c r="C8" s="74" t="s">
        <v>97</v>
      </c>
      <c r="D8" s="74" t="s">
        <v>95</v>
      </c>
      <c r="E8" s="74" t="s">
        <v>36</v>
      </c>
      <c r="F8" s="74" t="s">
        <v>106</v>
      </c>
      <c r="G8" s="75" t="s">
        <v>87</v>
      </c>
      <c r="H8" s="74" t="s">
        <v>87</v>
      </c>
      <c r="I8" s="74" t="s">
        <v>113</v>
      </c>
      <c r="J8" s="74" t="s">
        <v>112</v>
      </c>
      <c r="K8" s="74"/>
      <c r="L8" s="74"/>
    </row>
    <row r="9" spans="2:10" ht="12.75">
      <c r="B9" s="77"/>
      <c r="C9" s="77"/>
      <c r="D9" s="77"/>
      <c r="E9" s="77"/>
      <c r="F9" s="77"/>
      <c r="G9" s="77"/>
      <c r="H9" s="77"/>
      <c r="I9" s="77"/>
      <c r="J9" s="77"/>
    </row>
    <row r="10" spans="1:12" ht="12.75">
      <c r="A10" s="78" t="s">
        <v>16</v>
      </c>
      <c r="B10" s="99">
        <v>12.1294575076045</v>
      </c>
      <c r="C10" s="99">
        <v>8.24325583201111</v>
      </c>
      <c r="D10" s="99">
        <v>23.3225294464133</v>
      </c>
      <c r="E10" s="99">
        <v>20.8626767065458</v>
      </c>
      <c r="F10" s="99">
        <v>24.9877115599687</v>
      </c>
      <c r="G10" s="99">
        <v>1.81647213563795</v>
      </c>
      <c r="H10" s="99">
        <v>1.18803145781543</v>
      </c>
      <c r="I10" s="99">
        <v>49.1665570752665</v>
      </c>
      <c r="J10" s="99">
        <v>2.12596326262792</v>
      </c>
      <c r="K10" s="165">
        <v>23.9577195723534</v>
      </c>
      <c r="L10" s="166">
        <v>20.8502357652687</v>
      </c>
    </row>
    <row r="11" spans="1:12" ht="12.75">
      <c r="A11" s="81" t="s">
        <v>28</v>
      </c>
      <c r="B11" s="100">
        <v>14.0504553284313</v>
      </c>
      <c r="C11" s="100">
        <v>14.2119016437867</v>
      </c>
      <c r="D11" s="100">
        <v>-10.4061726516092</v>
      </c>
      <c r="E11" s="100">
        <v>-18.2472755634863</v>
      </c>
      <c r="F11" s="100">
        <v>-10.0747436366044</v>
      </c>
      <c r="G11" s="100">
        <v>0.869999336755226</v>
      </c>
      <c r="H11" s="100">
        <v>1.02474102370004</v>
      </c>
      <c r="I11" s="100">
        <v>85.8446190788358</v>
      </c>
      <c r="J11" s="100">
        <v>1.68996949888779</v>
      </c>
      <c r="K11" s="167">
        <v>2.33720044911382</v>
      </c>
      <c r="L11" s="168">
        <v>1.89140322181728</v>
      </c>
    </row>
    <row r="12" spans="1:12" ht="12.75">
      <c r="A12" s="82" t="s">
        <v>25</v>
      </c>
      <c r="B12" s="101">
        <v>15.212104546581</v>
      </c>
      <c r="C12" s="101">
        <v>17.3298134345355</v>
      </c>
      <c r="D12" s="101">
        <v>11.2448838280292</v>
      </c>
      <c r="E12" s="101">
        <v>-0.290569723166023</v>
      </c>
      <c r="F12" s="101">
        <v>15.6635641974288</v>
      </c>
      <c r="G12" s="101">
        <v>1.80678465112168</v>
      </c>
      <c r="H12" s="101">
        <v>1.68241360513144</v>
      </c>
      <c r="I12" s="101">
        <v>59.7049445441729</v>
      </c>
      <c r="J12" s="101">
        <v>1.98698959367794</v>
      </c>
      <c r="K12" s="169">
        <v>14.9812677274444</v>
      </c>
      <c r="L12" s="170">
        <v>13.1331876081828</v>
      </c>
    </row>
    <row r="13" spans="1:12" ht="12.75">
      <c r="A13" s="82" t="s">
        <v>5</v>
      </c>
      <c r="B13" s="101">
        <v>3.74229074942061</v>
      </c>
      <c r="C13" s="101">
        <v>4.01686915856891</v>
      </c>
      <c r="D13" s="101">
        <v>1.59720562466912</v>
      </c>
      <c r="E13" s="101">
        <v>4.97363151620547</v>
      </c>
      <c r="F13" s="101">
        <v>0.454757591406985</v>
      </c>
      <c r="G13" s="101">
        <v>1.22637857062512</v>
      </c>
      <c r="H13" s="101">
        <v>0.412174254391132</v>
      </c>
      <c r="I13" s="101">
        <v>63.4491896368124</v>
      </c>
      <c r="J13" s="101">
        <v>1.58349777016611</v>
      </c>
      <c r="K13" s="169">
        <v>17.3085676839749</v>
      </c>
      <c r="L13" s="170">
        <v>15.6334377413594</v>
      </c>
    </row>
    <row r="14" spans="1:12" ht="12.75">
      <c r="A14" s="82" t="s">
        <v>6</v>
      </c>
      <c r="B14" s="101">
        <v>20.9708134223498</v>
      </c>
      <c r="C14" s="101">
        <v>18.3278736101763</v>
      </c>
      <c r="D14" s="101">
        <v>34.2331620841467</v>
      </c>
      <c r="E14" s="101">
        <v>20.3949537450232</v>
      </c>
      <c r="F14" s="101">
        <v>63.8143676949175</v>
      </c>
      <c r="G14" s="101">
        <v>1.58909785529854</v>
      </c>
      <c r="H14" s="101">
        <v>0.835234542289713</v>
      </c>
      <c r="I14" s="101">
        <v>41.4353526337546</v>
      </c>
      <c r="J14" s="101">
        <v>1.51163016315466</v>
      </c>
      <c r="K14" s="169">
        <v>15.9662724258864</v>
      </c>
      <c r="L14" s="170">
        <v>13.3174574961651</v>
      </c>
    </row>
    <row r="15" spans="1:12" ht="12.75">
      <c r="A15" s="82" t="s">
        <v>7</v>
      </c>
      <c r="B15" s="101">
        <v>9.2268448465745</v>
      </c>
      <c r="C15" s="101">
        <v>6.03701812577118</v>
      </c>
      <c r="D15" s="101">
        <v>18.9589222916003</v>
      </c>
      <c r="E15" s="101">
        <v>15.7182664270924</v>
      </c>
      <c r="F15" s="101">
        <v>21.0947970891227</v>
      </c>
      <c r="G15" s="101">
        <v>1.92997326290698</v>
      </c>
      <c r="H15" s="101">
        <v>1.17233900970742</v>
      </c>
      <c r="I15" s="101">
        <v>47.3778639395226</v>
      </c>
      <c r="J15" s="101">
        <v>2.17977626431857</v>
      </c>
      <c r="K15" s="169">
        <v>37.9132674532955</v>
      </c>
      <c r="L15" s="170">
        <v>34.8262832958104</v>
      </c>
    </row>
    <row r="16" spans="1:12" ht="12.75">
      <c r="A16" s="82" t="s">
        <v>144</v>
      </c>
      <c r="B16" s="102">
        <v>16.0977491757111</v>
      </c>
      <c r="C16" s="102">
        <v>12.9608150411794</v>
      </c>
      <c r="D16" s="102">
        <v>25.1842460231371</v>
      </c>
      <c r="E16" s="102">
        <v>17.6068501628042</v>
      </c>
      <c r="F16" s="102">
        <v>31.4074981210575</v>
      </c>
      <c r="G16" s="101">
        <v>1.62680294776503</v>
      </c>
      <c r="H16" s="101">
        <v>0.995974895643307</v>
      </c>
      <c r="I16" s="101">
        <v>53.0197614924946</v>
      </c>
      <c r="J16" s="101">
        <v>2.41425112368207</v>
      </c>
      <c r="K16" s="169">
        <v>30.3598941355067</v>
      </c>
      <c r="L16" s="170">
        <v>25.6095802475532</v>
      </c>
    </row>
    <row r="17" spans="1:12" ht="12.75">
      <c r="A17" s="82" t="s">
        <v>8</v>
      </c>
      <c r="B17" s="101">
        <v>16.0725693509141</v>
      </c>
      <c r="C17" s="101">
        <v>18.9557028684386</v>
      </c>
      <c r="D17" s="101">
        <v>4.76301023960231</v>
      </c>
      <c r="E17" s="101">
        <v>9.68991579201217</v>
      </c>
      <c r="F17" s="101">
        <v>4.10818992900084</v>
      </c>
      <c r="G17" s="101">
        <v>2.76321599065868</v>
      </c>
      <c r="H17" s="101">
        <v>1.58168821484728</v>
      </c>
      <c r="I17" s="101">
        <v>50.9697490753819</v>
      </c>
      <c r="J17" s="101">
        <v>2.50146186880597</v>
      </c>
      <c r="K17" s="169">
        <v>13.6129865727603</v>
      </c>
      <c r="L17" s="170">
        <v>11.8332114552195</v>
      </c>
    </row>
    <row r="18" spans="1:12" ht="12.75">
      <c r="A18" s="82" t="s">
        <v>31</v>
      </c>
      <c r="B18" s="101">
        <v>-88.9273282634509</v>
      </c>
      <c r="C18" s="101">
        <v>-88.9273282634509</v>
      </c>
      <c r="D18" s="102" t="s">
        <v>256</v>
      </c>
      <c r="E18" s="102" t="s">
        <v>256</v>
      </c>
      <c r="F18" s="102" t="s">
        <v>256</v>
      </c>
      <c r="G18" s="101">
        <v>0.999999922118993</v>
      </c>
      <c r="H18" s="101">
        <v>0</v>
      </c>
      <c r="I18" s="101">
        <v>43.3154595844911</v>
      </c>
      <c r="J18" s="101">
        <v>1.01949354716111</v>
      </c>
      <c r="K18" s="169">
        <v>7.32053403743341</v>
      </c>
      <c r="L18" s="170">
        <v>6.15812729007781</v>
      </c>
    </row>
    <row r="19" spans="1:12" ht="12.75">
      <c r="A19" s="82" t="s">
        <v>11</v>
      </c>
      <c r="B19" s="101">
        <v>23.0714375974468</v>
      </c>
      <c r="C19" s="101">
        <v>-16.885495098928</v>
      </c>
      <c r="D19" s="101">
        <v>24.3037574673165</v>
      </c>
      <c r="E19" s="101">
        <v>20.5685000054792</v>
      </c>
      <c r="F19" s="101">
        <v>42.5490223796452</v>
      </c>
      <c r="G19" s="101">
        <v>3.29012264385022</v>
      </c>
      <c r="H19" s="101">
        <v>0.246998204755366</v>
      </c>
      <c r="I19" s="101">
        <v>42.2932186749246</v>
      </c>
      <c r="J19" s="101">
        <v>5.48114266717987</v>
      </c>
      <c r="K19" s="169">
        <v>37.5017629954186</v>
      </c>
      <c r="L19" s="170">
        <v>30.9320254228331</v>
      </c>
    </row>
    <row r="20" spans="1:12" ht="12.75">
      <c r="A20" s="82" t="s">
        <v>24</v>
      </c>
      <c r="B20" s="101">
        <v>29.1748985212467</v>
      </c>
      <c r="C20" s="101">
        <v>29.1748981735512</v>
      </c>
      <c r="D20" s="102" t="s">
        <v>256</v>
      </c>
      <c r="E20" s="102" t="s">
        <v>256</v>
      </c>
      <c r="F20" s="102" t="s">
        <v>256</v>
      </c>
      <c r="G20" s="101">
        <v>2.59985750555085</v>
      </c>
      <c r="H20" s="101">
        <v>1.46391507586429</v>
      </c>
      <c r="I20" s="101">
        <v>90.1709579616079</v>
      </c>
      <c r="J20" s="101">
        <v>5.65118376351838</v>
      </c>
      <c r="K20" s="169">
        <v>-1.36510907173079</v>
      </c>
      <c r="L20" s="170">
        <v>0.645943281182594</v>
      </c>
    </row>
    <row r="21" spans="1:12" ht="12.75">
      <c r="A21" s="82" t="s">
        <v>29</v>
      </c>
      <c r="B21" s="101">
        <v>-16.0050313023328</v>
      </c>
      <c r="C21" s="101">
        <v>-16.0090763583628</v>
      </c>
      <c r="D21" s="101">
        <v>-7.09683975212508</v>
      </c>
      <c r="E21" s="101">
        <v>-7.09683975212508</v>
      </c>
      <c r="F21" s="102" t="s">
        <v>256</v>
      </c>
      <c r="G21" s="101">
        <v>0.753917013294231</v>
      </c>
      <c r="H21" s="101">
        <v>0.013870559646766</v>
      </c>
      <c r="I21" s="101">
        <v>71.5497774032336</v>
      </c>
      <c r="J21" s="101">
        <v>1.10667260519449</v>
      </c>
      <c r="K21" s="169">
        <v>3.99362361847078</v>
      </c>
      <c r="L21" s="170">
        <v>3.31372768946467</v>
      </c>
    </row>
    <row r="22" spans="1:12" ht="12.75">
      <c r="A22" s="82" t="s">
        <v>9</v>
      </c>
      <c r="B22" s="101">
        <v>-4.25305554608117</v>
      </c>
      <c r="C22" s="101">
        <v>-4.11830489248348</v>
      </c>
      <c r="D22" s="101">
        <v>-16.9762494132198</v>
      </c>
      <c r="E22" s="101">
        <v>-26.3909891024644</v>
      </c>
      <c r="F22" s="101">
        <v>-13.1227179016653</v>
      </c>
      <c r="G22" s="101">
        <v>2.08339420508778</v>
      </c>
      <c r="H22" s="101">
        <v>1.94033467633703</v>
      </c>
      <c r="I22" s="101">
        <v>69.9374987279142</v>
      </c>
      <c r="J22" s="101">
        <v>3.67524622486517</v>
      </c>
      <c r="K22" s="169">
        <v>14.3622848785055</v>
      </c>
      <c r="L22" s="170">
        <v>13.430315114213</v>
      </c>
    </row>
    <row r="23" spans="1:12" ht="12.75">
      <c r="A23" s="82" t="s">
        <v>26</v>
      </c>
      <c r="B23" s="101">
        <v>76.7057373117985</v>
      </c>
      <c r="C23" s="101">
        <v>76.7057381799635</v>
      </c>
      <c r="D23" s="102" t="s">
        <v>256</v>
      </c>
      <c r="E23" s="102" t="s">
        <v>256</v>
      </c>
      <c r="F23" s="102" t="s">
        <v>256</v>
      </c>
      <c r="G23" s="101">
        <v>1.62186940220631</v>
      </c>
      <c r="H23" s="101">
        <v>0.275645476375032</v>
      </c>
      <c r="I23" s="101">
        <v>139.932048421834</v>
      </c>
      <c r="J23" s="101">
        <v>3.10218630310282</v>
      </c>
      <c r="K23" s="169">
        <v>1.0919334484432</v>
      </c>
      <c r="L23" s="170">
        <v>0.862226304450917</v>
      </c>
    </row>
    <row r="24" spans="1:12" ht="12.75">
      <c r="A24" s="82" t="s">
        <v>107</v>
      </c>
      <c r="B24" s="102" t="s">
        <v>256</v>
      </c>
      <c r="C24" s="102" t="s">
        <v>256</v>
      </c>
      <c r="D24" s="102" t="s">
        <v>256</v>
      </c>
      <c r="E24" s="102" t="s">
        <v>256</v>
      </c>
      <c r="F24" s="102" t="s">
        <v>256</v>
      </c>
      <c r="G24" s="101">
        <v>3.67164729685229</v>
      </c>
      <c r="H24" s="101">
        <v>0.306456545226522</v>
      </c>
      <c r="I24" s="101">
        <v>49.5027571473241</v>
      </c>
      <c r="J24" s="101">
        <v>8.97380262624723</v>
      </c>
      <c r="K24" s="169">
        <v>39.7030539314111</v>
      </c>
      <c r="L24" s="170">
        <v>32.9535191003427</v>
      </c>
    </row>
    <row r="25" spans="1:12" ht="12.75">
      <c r="A25" s="82" t="s">
        <v>30</v>
      </c>
      <c r="B25" s="102" t="s">
        <v>256</v>
      </c>
      <c r="C25" s="102" t="s">
        <v>256</v>
      </c>
      <c r="D25" s="102" t="s">
        <v>256</v>
      </c>
      <c r="E25" s="102" t="s">
        <v>256</v>
      </c>
      <c r="F25" s="102" t="s">
        <v>256</v>
      </c>
      <c r="G25" s="102" t="s">
        <v>256</v>
      </c>
      <c r="H25" s="102" t="s">
        <v>256</v>
      </c>
      <c r="I25" s="101">
        <v>319.317272903131</v>
      </c>
      <c r="J25" s="101">
        <v>10.8149682168187</v>
      </c>
      <c r="K25" s="169">
        <v>-26.5507638293693</v>
      </c>
      <c r="L25" s="170">
        <v>-22.4511692701963</v>
      </c>
    </row>
    <row r="26" spans="1:12" ht="12.75">
      <c r="A26" s="82" t="s">
        <v>22</v>
      </c>
      <c r="B26" s="101">
        <v>78.9756748920132</v>
      </c>
      <c r="C26" s="101">
        <v>20.8247220873196</v>
      </c>
      <c r="D26" s="101">
        <v>89.1170400120898</v>
      </c>
      <c r="E26" s="101">
        <v>89.9569475360144</v>
      </c>
      <c r="F26" s="101">
        <v>83.4862974279545</v>
      </c>
      <c r="G26" s="101">
        <v>2.56870747213473</v>
      </c>
      <c r="H26" s="101">
        <v>0.0976548115883135</v>
      </c>
      <c r="I26" s="101">
        <v>71.1312879749761</v>
      </c>
      <c r="J26" s="101">
        <v>7.98886720651688</v>
      </c>
      <c r="K26" s="169">
        <v>12.1193247819436</v>
      </c>
      <c r="L26" s="170">
        <v>12.1193247819436</v>
      </c>
    </row>
    <row r="27" spans="1:12" ht="12.75">
      <c r="A27" s="82" t="s">
        <v>10</v>
      </c>
      <c r="B27" s="101">
        <v>10.8384206984125</v>
      </c>
      <c r="C27" s="101">
        <v>4.84157164841243</v>
      </c>
      <c r="D27" s="101">
        <v>24.6719416231229</v>
      </c>
      <c r="E27" s="101">
        <v>16.818685179039</v>
      </c>
      <c r="F27" s="101">
        <v>30.0494036145446</v>
      </c>
      <c r="G27" s="101">
        <v>1.79868805083207</v>
      </c>
      <c r="H27" s="101">
        <v>1.28276815929299</v>
      </c>
      <c r="I27" s="101">
        <v>42.0140180032951</v>
      </c>
      <c r="J27" s="101">
        <v>1.97652818497518</v>
      </c>
      <c r="K27" s="169">
        <v>31.1973680590698</v>
      </c>
      <c r="L27" s="170">
        <v>26.4715962158867</v>
      </c>
    </row>
    <row r="28" spans="1:12" ht="12.75">
      <c r="A28" s="82" t="s">
        <v>32</v>
      </c>
      <c r="B28" s="101">
        <v>25.699097304481</v>
      </c>
      <c r="C28" s="101">
        <v>26.0254087862587</v>
      </c>
      <c r="D28" s="101">
        <v>21.993691841111</v>
      </c>
      <c r="E28" s="101">
        <v>27.3594500947056</v>
      </c>
      <c r="F28" s="101">
        <v>20.5856706346233</v>
      </c>
      <c r="G28" s="101">
        <v>1.44546958411156</v>
      </c>
      <c r="H28" s="101">
        <v>0.7360147465842239</v>
      </c>
      <c r="I28" s="101">
        <v>47.4357805612887</v>
      </c>
      <c r="J28" s="101">
        <v>1.52287863861781</v>
      </c>
      <c r="K28" s="169">
        <v>18.2862061869235</v>
      </c>
      <c r="L28" s="170">
        <v>16.4042260682227</v>
      </c>
    </row>
    <row r="29" spans="1:12" ht="12.75">
      <c r="A29" s="83" t="s">
        <v>21</v>
      </c>
      <c r="B29" s="103">
        <v>0.324957475329724</v>
      </c>
      <c r="C29" s="103">
        <v>-10.7203977538758</v>
      </c>
      <c r="D29" s="103">
        <v>26.6244336308072</v>
      </c>
      <c r="E29" s="103">
        <v>26.0343647553005</v>
      </c>
      <c r="F29" s="103">
        <v>26.8553009123793</v>
      </c>
      <c r="G29" s="103">
        <v>1.83442442030034</v>
      </c>
      <c r="H29" s="103">
        <v>1.95882336409463</v>
      </c>
      <c r="I29" s="103">
        <v>67.4040875245278</v>
      </c>
      <c r="J29" s="103">
        <v>2.32310906682944</v>
      </c>
      <c r="K29" s="171">
        <v>10.6557337398377</v>
      </c>
      <c r="L29" s="172">
        <v>9.61627691586096</v>
      </c>
    </row>
    <row r="30" spans="3:12" ht="12.75">
      <c r="C30" s="104"/>
      <c r="D30" s="104"/>
      <c r="E30" s="104"/>
      <c r="F30" s="104"/>
      <c r="G30" s="104"/>
      <c r="H30" s="104"/>
      <c r="I30" s="104"/>
      <c r="J30" s="104"/>
      <c r="K30" s="173"/>
      <c r="L30" s="174"/>
    </row>
    <row r="31" spans="1:12" ht="12.75">
      <c r="A31" s="79" t="s">
        <v>152</v>
      </c>
      <c r="B31" s="99">
        <v>14.8064125165261</v>
      </c>
      <c r="C31" s="99">
        <v>19.3856029974899</v>
      </c>
      <c r="D31" s="99">
        <v>10.3924502343204</v>
      </c>
      <c r="E31" s="99">
        <v>15.2528095108189</v>
      </c>
      <c r="F31" s="99">
        <v>9.14931870608453</v>
      </c>
      <c r="G31" s="99">
        <v>1.71200680956021</v>
      </c>
      <c r="H31" s="99">
        <v>0.832842645762348</v>
      </c>
      <c r="I31" s="99">
        <v>59.5117157381597</v>
      </c>
      <c r="J31" s="99">
        <v>2.25014447973489</v>
      </c>
      <c r="K31" s="166">
        <v>22.9621816170493</v>
      </c>
      <c r="L31" s="166">
        <v>10.3841739455947</v>
      </c>
    </row>
    <row r="32" spans="3:12" ht="12.75">
      <c r="C32" s="104"/>
      <c r="D32" s="104"/>
      <c r="E32" s="104"/>
      <c r="F32" s="104"/>
      <c r="G32" s="104"/>
      <c r="H32" s="104"/>
      <c r="I32" s="104"/>
      <c r="J32" s="104"/>
      <c r="K32" s="173"/>
      <c r="L32" s="174"/>
    </row>
    <row r="33" spans="1:12" ht="12.75">
      <c r="A33" s="79" t="s">
        <v>23</v>
      </c>
      <c r="B33" s="99">
        <v>10.8206220721103</v>
      </c>
      <c r="C33" s="99">
        <v>15.2386066353831</v>
      </c>
      <c r="D33" s="99">
        <v>3.35476420404675</v>
      </c>
      <c r="E33" s="99">
        <v>10.8428926133281</v>
      </c>
      <c r="F33" s="99">
        <v>-7.53058342709604</v>
      </c>
      <c r="G33" s="99">
        <v>2.12155404908875</v>
      </c>
      <c r="H33" s="99">
        <v>0.923812871866066</v>
      </c>
      <c r="I33" s="99">
        <v>61.8569319327468</v>
      </c>
      <c r="J33" s="99">
        <v>3.99907244618731</v>
      </c>
      <c r="K33" s="166">
        <v>16.3411963478058</v>
      </c>
      <c r="L33" s="166">
        <v>13.3732816816914</v>
      </c>
    </row>
    <row r="34" spans="1:12" ht="12.75">
      <c r="A34" s="82" t="s">
        <v>34</v>
      </c>
      <c r="B34" s="101">
        <v>19.3836316322349</v>
      </c>
      <c r="C34" s="101">
        <v>25.2804338836135</v>
      </c>
      <c r="D34" s="101">
        <v>11.1867809230561</v>
      </c>
      <c r="E34" s="101">
        <v>18.0126921237843</v>
      </c>
      <c r="F34" s="101">
        <v>6.0461312312206</v>
      </c>
      <c r="G34" s="101">
        <v>2.07656897001028</v>
      </c>
      <c r="H34" s="101">
        <v>1.12394523492999</v>
      </c>
      <c r="I34" s="101">
        <v>65.6606745044125</v>
      </c>
      <c r="J34" s="101">
        <v>2.97410905890347</v>
      </c>
      <c r="K34" s="167">
        <v>16.0022495881581</v>
      </c>
      <c r="L34" s="170">
        <v>14.0684019345786</v>
      </c>
    </row>
    <row r="35" spans="1:12" ht="12.75">
      <c r="A35" s="82" t="s">
        <v>12</v>
      </c>
      <c r="B35" s="101">
        <v>-1.19594536921636</v>
      </c>
      <c r="C35" s="101">
        <v>0.768585828564672</v>
      </c>
      <c r="D35" s="101">
        <v>-4.52055926178507</v>
      </c>
      <c r="E35" s="101">
        <v>6.756084493365</v>
      </c>
      <c r="F35" s="101">
        <v>-39.5096636030469</v>
      </c>
      <c r="G35" s="101">
        <v>2.46609612923293</v>
      </c>
      <c r="H35" s="101">
        <v>0.862339530147307</v>
      </c>
      <c r="I35" s="101">
        <v>90.5807115630658</v>
      </c>
      <c r="J35" s="101">
        <v>5.3320489030551</v>
      </c>
      <c r="K35" s="169">
        <v>4.27133284993173</v>
      </c>
      <c r="L35" s="170">
        <v>3.01621618356295</v>
      </c>
    </row>
    <row r="36" spans="1:12" ht="12.75">
      <c r="A36" s="82" t="s">
        <v>14</v>
      </c>
      <c r="B36" s="101">
        <v>-8.48812084136199</v>
      </c>
      <c r="C36" s="101">
        <v>-8.41326855039501</v>
      </c>
      <c r="D36" s="101">
        <v>-28.6444921288803</v>
      </c>
      <c r="E36" s="101">
        <v>-28.6444921288803</v>
      </c>
      <c r="F36" s="102" t="s">
        <v>256</v>
      </c>
      <c r="G36" s="101">
        <v>0.409815782366634</v>
      </c>
      <c r="H36" s="101">
        <v>0.106742413060863</v>
      </c>
      <c r="I36" s="101">
        <v>69.2907928370154</v>
      </c>
      <c r="J36" s="101">
        <v>4.13304259822321</v>
      </c>
      <c r="K36" s="169">
        <v>-3.5935904467235</v>
      </c>
      <c r="L36" s="170">
        <v>-3.5935904467235</v>
      </c>
    </row>
    <row r="37" spans="1:12" ht="12.75">
      <c r="A37" s="82" t="s">
        <v>13</v>
      </c>
      <c r="B37" s="101">
        <v>-5.52576400027096</v>
      </c>
      <c r="C37" s="101">
        <v>-5.51381580991087</v>
      </c>
      <c r="D37" s="101">
        <v>-19.4766160077005</v>
      </c>
      <c r="E37" s="101">
        <v>-19.4766160077005</v>
      </c>
      <c r="F37" s="102" t="s">
        <v>256</v>
      </c>
      <c r="G37" s="101">
        <v>0.861664033692471</v>
      </c>
      <c r="H37" s="101">
        <v>0</v>
      </c>
      <c r="I37" s="101">
        <v>183.443780436491</v>
      </c>
      <c r="J37" s="101">
        <v>6.22021642726807</v>
      </c>
      <c r="K37" s="169">
        <v>-4.18817545601724</v>
      </c>
      <c r="L37" s="170">
        <v>-4.19032737505661</v>
      </c>
    </row>
    <row r="38" spans="1:12" ht="12.75">
      <c r="A38" s="82" t="s">
        <v>35</v>
      </c>
      <c r="B38" s="101">
        <v>-7.19096640907824</v>
      </c>
      <c r="C38" s="101">
        <v>-7.19096680581496</v>
      </c>
      <c r="D38" s="102" t="s">
        <v>256</v>
      </c>
      <c r="E38" s="102" t="s">
        <v>256</v>
      </c>
      <c r="F38" s="102" t="s">
        <v>256</v>
      </c>
      <c r="G38" s="101">
        <v>0.490499913526767</v>
      </c>
      <c r="H38" s="101">
        <v>0</v>
      </c>
      <c r="I38" s="101">
        <v>60.2182351545318</v>
      </c>
      <c r="J38" s="101">
        <v>2.1018953681381</v>
      </c>
      <c r="K38" s="169">
        <v>5.94214852332631</v>
      </c>
      <c r="L38" s="170">
        <v>5.94214852332631</v>
      </c>
    </row>
    <row r="39" spans="1:12" ht="12.75">
      <c r="A39" s="83" t="s">
        <v>33</v>
      </c>
      <c r="B39" s="103">
        <v>217.381675119585</v>
      </c>
      <c r="C39" s="103">
        <v>217.381675119585</v>
      </c>
      <c r="D39" s="105" t="s">
        <v>256</v>
      </c>
      <c r="E39" s="105" t="s">
        <v>256</v>
      </c>
      <c r="F39" s="105" t="s">
        <v>256</v>
      </c>
      <c r="G39" s="103">
        <v>0.143262502941689</v>
      </c>
      <c r="H39" s="103">
        <v>0</v>
      </c>
      <c r="I39" s="103">
        <v>9.04137818104339</v>
      </c>
      <c r="J39" s="103">
        <v>1.55308375663784</v>
      </c>
      <c r="K39" s="171">
        <v>46.3323758351768</v>
      </c>
      <c r="L39" s="172">
        <v>38.0906679629524</v>
      </c>
    </row>
    <row r="40" spans="3:12" ht="12.75">
      <c r="C40" s="104"/>
      <c r="D40" s="104"/>
      <c r="E40" s="104"/>
      <c r="F40" s="104"/>
      <c r="G40" s="104"/>
      <c r="H40" s="104"/>
      <c r="I40" s="104"/>
      <c r="J40" s="104"/>
      <c r="K40" s="173"/>
      <c r="L40" s="174"/>
    </row>
    <row r="41" spans="1:12" ht="12.75">
      <c r="A41" s="78" t="s">
        <v>15</v>
      </c>
      <c r="B41" s="99">
        <v>12.4152110441713</v>
      </c>
      <c r="C41" s="99">
        <v>9.5561038145249</v>
      </c>
      <c r="D41" s="99">
        <v>19.2159810073877</v>
      </c>
      <c r="E41" s="99">
        <v>19.2009137934877</v>
      </c>
      <c r="F41" s="99">
        <v>19.2248401379082</v>
      </c>
      <c r="G41" s="99">
        <v>1.81705866470437</v>
      </c>
      <c r="H41" s="99">
        <v>1.12821950116229</v>
      </c>
      <c r="I41" s="99">
        <v>51.7509631790776</v>
      </c>
      <c r="J41" s="99">
        <v>2.26281404322925</v>
      </c>
      <c r="K41" s="166">
        <v>22.9105552830171</v>
      </c>
      <c r="L41" s="166">
        <v>18.904259255424</v>
      </c>
    </row>
    <row r="42" spans="1:12" ht="12.75">
      <c r="A42" s="86"/>
      <c r="B42" s="87"/>
      <c r="C42" s="106"/>
      <c r="D42" s="106"/>
      <c r="E42" s="106"/>
      <c r="F42" s="106"/>
      <c r="G42" s="106"/>
      <c r="H42" s="106"/>
      <c r="I42" s="106"/>
      <c r="J42" s="106"/>
      <c r="K42" s="173"/>
      <c r="L42" s="175"/>
    </row>
    <row r="43" spans="1:12" ht="12.75">
      <c r="A43" s="86" t="s">
        <v>27</v>
      </c>
      <c r="B43" s="87"/>
      <c r="C43" s="106"/>
      <c r="D43" s="106"/>
      <c r="E43" s="106"/>
      <c r="F43" s="106"/>
      <c r="G43" s="106"/>
      <c r="H43" s="106"/>
      <c r="I43" s="106"/>
      <c r="J43" s="106"/>
      <c r="K43" s="173"/>
      <c r="L43" s="175"/>
    </row>
    <row r="44" spans="1:12" ht="12.75">
      <c r="A44" s="88" t="s">
        <v>147</v>
      </c>
      <c r="B44" s="107">
        <v>15.9156894408347</v>
      </c>
      <c r="C44" s="107">
        <v>7.43328488011952</v>
      </c>
      <c r="D44" s="107">
        <v>16.2557297346095</v>
      </c>
      <c r="E44" s="107">
        <v>16.2557297346095</v>
      </c>
      <c r="F44" s="108" t="s">
        <v>256</v>
      </c>
      <c r="G44" s="107">
        <v>6.34530588774485</v>
      </c>
      <c r="H44" s="107">
        <v>0.407865013783794</v>
      </c>
      <c r="I44" s="107">
        <v>54.1167188849725</v>
      </c>
      <c r="J44" s="107">
        <v>11.5415863432317</v>
      </c>
      <c r="K44" s="167">
        <v>52.7878888811724</v>
      </c>
      <c r="L44" s="176">
        <v>43.938168804883</v>
      </c>
    </row>
    <row r="45" spans="1:12" ht="12.75">
      <c r="A45" s="88" t="s">
        <v>148</v>
      </c>
      <c r="B45" s="107">
        <v>16.1046921499231</v>
      </c>
      <c r="C45" s="107">
        <v>12.9713631512056</v>
      </c>
      <c r="D45" s="107">
        <v>26.6091246737964</v>
      </c>
      <c r="E45" s="107">
        <v>18.2003330605289</v>
      </c>
      <c r="F45" s="107">
        <v>31.4074981210575</v>
      </c>
      <c r="G45" s="107">
        <v>1.44715256748519</v>
      </c>
      <c r="H45" s="107">
        <v>1.01836635438908</v>
      </c>
      <c r="I45" s="107">
        <v>52.815345590018</v>
      </c>
      <c r="J45" s="107">
        <v>2.08858615279782</v>
      </c>
      <c r="K45" s="176">
        <v>29.8119140946036</v>
      </c>
      <c r="L45" s="176">
        <v>25.6095802475532</v>
      </c>
    </row>
    <row r="46" ht="12.75">
      <c r="A46" s="45"/>
    </row>
    <row r="47" spans="1:12" ht="12.75">
      <c r="A47" s="3" t="s">
        <v>60</v>
      </c>
      <c r="B47" s="45"/>
      <c r="C47" s="45"/>
      <c r="D47" s="45"/>
      <c r="E47" s="45"/>
      <c r="F47" s="45"/>
      <c r="G47" s="45"/>
      <c r="H47" s="45"/>
      <c r="I47" s="45"/>
      <c r="J47" s="45"/>
      <c r="K47" s="109"/>
      <c r="L47" s="109"/>
    </row>
    <row r="48" ht="12.75">
      <c r="A48" s="3" t="s">
        <v>140</v>
      </c>
    </row>
    <row r="49" ht="12.75">
      <c r="A49" s="3" t="s">
        <v>243</v>
      </c>
    </row>
    <row r="50" ht="12.75">
      <c r="A50" s="3" t="s">
        <v>262</v>
      </c>
    </row>
    <row r="51" ht="12.75">
      <c r="A51" s="3" t="s">
        <v>151</v>
      </c>
    </row>
    <row r="52" ht="12.75">
      <c r="A52" s="3" t="s">
        <v>263</v>
      </c>
    </row>
    <row r="54" ht="12.75">
      <c r="A54" s="3" t="s">
        <v>103</v>
      </c>
    </row>
  </sheetData>
  <mergeCells count="7">
    <mergeCell ref="B7:F7"/>
    <mergeCell ref="A3:L3"/>
    <mergeCell ref="A4:L4"/>
    <mergeCell ref="K6:L6"/>
    <mergeCell ref="B6:F6"/>
    <mergeCell ref="G6:H6"/>
    <mergeCell ref="I6:J6"/>
  </mergeCells>
  <hyperlinks>
    <hyperlink ref="L1" location="Indice!A1" display="Volver"/>
  </hyperlinks>
  <printOptions horizontalCentered="1" verticalCentered="1"/>
  <pageMargins left="0.15748031496062992" right="0.15748031496062992" top="0.2755905511811024" bottom="0.1968503937007874" header="0.2755905511811024" footer="0"/>
  <pageSetup fitToHeight="1" fitToWidth="1" horizontalDpi="600" verticalDpi="600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1" sqref="B1"/>
    </sheetView>
  </sheetViews>
  <sheetFormatPr defaultColWidth="11.00390625" defaultRowHeight="12.75"/>
  <cols>
    <col min="1" max="1" width="69.375" style="3" bestFit="1" customWidth="1"/>
    <col min="2" max="2" width="28.875" style="3" bestFit="1" customWidth="1"/>
    <col min="3" max="16384" width="12.00390625" style="3" customWidth="1"/>
  </cols>
  <sheetData>
    <row r="1" spans="1:2" ht="12.75">
      <c r="A1" s="110" t="s">
        <v>153</v>
      </c>
      <c r="B1" s="114" t="s">
        <v>160</v>
      </c>
    </row>
    <row r="2" ht="12.75">
      <c r="A2" s="110" t="s">
        <v>154</v>
      </c>
    </row>
    <row r="3" ht="12.75">
      <c r="A3" s="110"/>
    </row>
    <row r="4" ht="12.75">
      <c r="A4" s="110"/>
    </row>
    <row r="5" ht="12.75">
      <c r="A5" s="110"/>
    </row>
    <row r="6" ht="12.75">
      <c r="A6" s="110"/>
    </row>
    <row r="7" ht="12.75">
      <c r="A7" s="110"/>
    </row>
    <row r="8" ht="15.75">
      <c r="A8" s="111" t="s">
        <v>114</v>
      </c>
    </row>
    <row r="10" spans="1:2" ht="12.75">
      <c r="A10" s="116" t="s">
        <v>164</v>
      </c>
      <c r="B10" s="116" t="s">
        <v>165</v>
      </c>
    </row>
    <row r="11" spans="1:2" ht="15.75">
      <c r="A11" s="115"/>
      <c r="B11" s="115"/>
    </row>
    <row r="12" spans="1:2" ht="12.75">
      <c r="A12" s="188" t="s">
        <v>87</v>
      </c>
      <c r="B12" s="189"/>
    </row>
    <row r="13" spans="1:2" ht="12.75">
      <c r="A13" s="117"/>
      <c r="B13" s="118"/>
    </row>
    <row r="14" spans="1:2" ht="12.75">
      <c r="A14" s="119" t="s">
        <v>87</v>
      </c>
      <c r="B14" s="120" t="s">
        <v>253</v>
      </c>
    </row>
    <row r="16" spans="1:2" ht="12.75">
      <c r="A16" s="188" t="s">
        <v>246</v>
      </c>
      <c r="B16" s="189"/>
    </row>
    <row r="17" spans="1:2" ht="12.75">
      <c r="A17" s="121"/>
      <c r="B17" s="122"/>
    </row>
    <row r="18" spans="1:2" ht="12.75">
      <c r="A18" s="123" t="s">
        <v>166</v>
      </c>
      <c r="B18" s="124">
        <v>1110</v>
      </c>
    </row>
    <row r="19" spans="1:2" ht="12.75">
      <c r="A19" s="123" t="str">
        <f>"+ Ptmos. comerciales (a más de 1 año)"</f>
        <v>+ Ptmos. comerciales (a más de 1 año)</v>
      </c>
      <c r="B19" s="125">
        <v>1205</v>
      </c>
    </row>
    <row r="20" spans="1:2" ht="12.75">
      <c r="A20" s="123" t="str">
        <f>"+ Ptmos. hipot. endosables para fines generales"</f>
        <v>+ Ptmos. hipot. endosables para fines generales</v>
      </c>
      <c r="B20" s="125">
        <v>1248</v>
      </c>
    </row>
    <row r="21" spans="1:2" ht="12.75">
      <c r="A21" s="123" t="str">
        <f>"+ Ptmos. fines generales en letras de crédito"</f>
        <v>+ Ptmos. fines generales en letras de crédito</v>
      </c>
      <c r="B21" s="125">
        <v>1305</v>
      </c>
    </row>
    <row r="22" spans="1:2" ht="12.75">
      <c r="A22" s="123" t="str">
        <f>"+ Deudores por boletas de garantía y consig. judic. (hasta 1 año)"</f>
        <v>+ Deudores por boletas de garantía y consig. judic. (hasta 1 año)</v>
      </c>
      <c r="B22" s="125">
        <v>1605</v>
      </c>
    </row>
    <row r="23" spans="1:2" ht="12.75">
      <c r="A23" s="123" t="str">
        <f>"+ Deudores por avales y fianzas (hasta 1 año)"</f>
        <v>+ Deudores por avales y fianzas (hasta 1 año)</v>
      </c>
      <c r="B23" s="125">
        <v>1610</v>
      </c>
    </row>
    <row r="24" spans="1:2" ht="12.75">
      <c r="A24" s="123" t="str">
        <f>"+ Deudores por boletas de garantía y consig. judic. (a más de 1 año)"</f>
        <v>+ Deudores por boletas de garantía y consig. judic. (a más de 1 año)</v>
      </c>
      <c r="B24" s="125">
        <v>1655</v>
      </c>
    </row>
    <row r="25" spans="1:2" ht="12.75">
      <c r="A25" s="123" t="str">
        <f>"+ Deudores por avales y fianzas (a más de 1 año)"</f>
        <v>+ Deudores por avales y fianzas (a más de 1 año)</v>
      </c>
      <c r="B25" s="125">
        <v>1660</v>
      </c>
    </row>
    <row r="26" spans="1:2" ht="12.75">
      <c r="A26" s="123" t="str">
        <f>"+ Créditos comerciales vencidos"</f>
        <v>+ Créditos comerciales vencidos</v>
      </c>
      <c r="B26" s="125">
        <v>1401</v>
      </c>
    </row>
    <row r="27" spans="1:2" ht="12.75">
      <c r="A27" s="123" t="str">
        <f>"+ Operaciones de factoraje"</f>
        <v>+ Operaciones de factoraje</v>
      </c>
      <c r="B27" s="125">
        <v>1135</v>
      </c>
    </row>
    <row r="28" spans="1:2" ht="12.75">
      <c r="A28" s="123" t="str">
        <f>"+ Operaciones de factoraje (vencidas)"</f>
        <v>+ Operaciones de factoraje (vencidas)</v>
      </c>
      <c r="B28" s="125">
        <v>1418</v>
      </c>
    </row>
    <row r="29" spans="1:2" ht="12.75">
      <c r="A29" s="123" t="str">
        <f>"+ Contratos de leasing comercial"</f>
        <v>+ Contratos de leasing comercial</v>
      </c>
      <c r="B29" s="125" t="s">
        <v>167</v>
      </c>
    </row>
    <row r="30" spans="1:2" ht="12.75">
      <c r="A30" s="126" t="str">
        <f>"+ Intereses diferidos leasing comercial"</f>
        <v>+ Intereses diferidos leasing comercial</v>
      </c>
      <c r="B30" s="127" t="s">
        <v>168</v>
      </c>
    </row>
    <row r="31" spans="1:2" ht="12.75">
      <c r="A31" s="126" t="str">
        <f>"+ IVA diferido leasing comercial"</f>
        <v>+ IVA diferido leasing comercial</v>
      </c>
      <c r="B31" s="127" t="s">
        <v>169</v>
      </c>
    </row>
    <row r="32" spans="1:2" ht="12.75">
      <c r="A32" s="123" t="str">
        <f>"+ Contratos de leasing comercial vencidos"</f>
        <v>+ Contratos de leasing comercial vencidos</v>
      </c>
      <c r="B32" s="125" t="s">
        <v>170</v>
      </c>
    </row>
    <row r="33" spans="1:2" ht="12.75">
      <c r="A33" s="123" t="str">
        <f>"+ Otros saldos de la partida 1350"</f>
        <v>+ Otros saldos de la partida 1350</v>
      </c>
      <c r="B33" s="128" t="s">
        <v>171</v>
      </c>
    </row>
    <row r="34" spans="1:2" ht="12.75">
      <c r="A34" s="123" t="str">
        <f>"+ Varios deudores"</f>
        <v>+ Varios deudores</v>
      </c>
      <c r="B34" s="125">
        <v>1140</v>
      </c>
    </row>
    <row r="35" spans="1:2" ht="12.75">
      <c r="A35" s="123" t="str">
        <f>"+ Ptmos. productivos reprogramados"</f>
        <v>+ Ptmos. productivos reprogramados</v>
      </c>
      <c r="B35" s="125">
        <v>1235</v>
      </c>
    </row>
    <row r="36" spans="1:2" ht="12.75">
      <c r="A36" s="123" t="s">
        <v>172</v>
      </c>
      <c r="B36" s="125">
        <v>1245</v>
      </c>
    </row>
    <row r="37" spans="1:2" ht="12.75">
      <c r="A37" s="123" t="str">
        <f>"+ Dividendos por cobrar"</f>
        <v>+ Dividendos por cobrar</v>
      </c>
      <c r="B37" s="125">
        <v>1315</v>
      </c>
    </row>
    <row r="38" spans="1:2" ht="12.75">
      <c r="A38" s="123" t="str">
        <f>"+ Créditos importación (hasta 1 año)"</f>
        <v>+ Créditos importación (hasta 1 año)</v>
      </c>
      <c r="B38" s="125">
        <v>1125</v>
      </c>
    </row>
    <row r="39" spans="1:2" ht="12.75">
      <c r="A39" s="123" t="str">
        <f>"+ Créditos exportación (hasta 1 año)"</f>
        <v>+ Créditos exportación (hasta 1 año)</v>
      </c>
      <c r="B39" s="125">
        <v>1130</v>
      </c>
    </row>
    <row r="40" spans="1:2" ht="12.75">
      <c r="A40" s="123" t="str">
        <f>"+ Créditos importación (a más de 1 año)"</f>
        <v>+ Créditos importación (a más de 1 año)</v>
      </c>
      <c r="B40" s="125">
        <v>1220</v>
      </c>
    </row>
    <row r="41" spans="1:2" ht="12.75">
      <c r="A41" s="123" t="str">
        <f>"+ Créditos exportación (a más de 1 año)"</f>
        <v>+ Créditos exportación (a más de 1 año)</v>
      </c>
      <c r="B41" s="125">
        <v>1225</v>
      </c>
    </row>
    <row r="42" spans="1:2" ht="12.75">
      <c r="A42" s="123" t="str">
        <f>"+ Deudores por carta de crédito simples o documentarias"</f>
        <v>+ Deudores por carta de crédito simples o documentarias</v>
      </c>
      <c r="B42" s="125">
        <v>1615</v>
      </c>
    </row>
    <row r="43" spans="1:2" ht="12.75">
      <c r="A43" s="123" t="str">
        <f>"+ Deudores por carta crédito del exterior confirmadas"</f>
        <v>+ Deudores por carta crédito del exterior confirmadas</v>
      </c>
      <c r="B43" s="125">
        <v>1620</v>
      </c>
    </row>
    <row r="44" spans="1:2" ht="12.75">
      <c r="A44" s="123" t="str">
        <f>"+ Ptmos. a instituciones financieras (hasta 1 año)"</f>
        <v>+ Ptmos. a instituciones financieras (hasta 1 año)</v>
      </c>
      <c r="B44" s="125">
        <v>1120</v>
      </c>
    </row>
    <row r="45" spans="1:2" ht="12.75">
      <c r="A45" s="119" t="str">
        <f>"+ Ptmos. a instituciones financieras (a más de 1 año)"</f>
        <v>+ Ptmos. a instituciones financieras (a más de 1 año)</v>
      </c>
      <c r="B45" s="129">
        <v>1215</v>
      </c>
    </row>
    <row r="47" spans="1:2" ht="12.75">
      <c r="A47" s="188" t="s">
        <v>173</v>
      </c>
      <c r="B47" s="189"/>
    </row>
    <row r="48" spans="1:2" ht="12.75">
      <c r="A48" s="122"/>
      <c r="B48" s="122"/>
    </row>
    <row r="49" spans="1:2" ht="12.75">
      <c r="A49" s="126" t="s">
        <v>166</v>
      </c>
      <c r="B49" s="124">
        <v>1110</v>
      </c>
    </row>
    <row r="50" spans="1:2" ht="12.75">
      <c r="A50" s="123" t="str">
        <f>"+ Ptmos. comerciales (a más de 1 año)"</f>
        <v>+ Ptmos. comerciales (a más de 1 año)</v>
      </c>
      <c r="B50" s="125">
        <v>1205</v>
      </c>
    </row>
    <row r="51" spans="1:2" ht="12.75">
      <c r="A51" s="123" t="str">
        <f>"+ Ptmos. hipot. endosables para fines generales"</f>
        <v>+ Ptmos. hipot. endosables para fines generales</v>
      </c>
      <c r="B51" s="125">
        <v>1248</v>
      </c>
    </row>
    <row r="52" spans="1:2" ht="12.75">
      <c r="A52" s="126" t="str">
        <f>"+ Ptmos. fines generales en letras de crédito"</f>
        <v>+ Ptmos. fines generales en letras de crédito</v>
      </c>
      <c r="B52" s="125">
        <v>1305</v>
      </c>
    </row>
    <row r="53" spans="1:2" ht="12.75">
      <c r="A53" s="123" t="str">
        <f>"+ Deudores por boletas de garantía y consig. judic. (hasta 1 año)"</f>
        <v>+ Deudores por boletas de garantía y consig. judic. (hasta 1 año)</v>
      </c>
      <c r="B53" s="125">
        <v>1605</v>
      </c>
    </row>
    <row r="54" spans="1:2" ht="12.75">
      <c r="A54" s="123" t="str">
        <f>"+ Deudores por avales y fianzas (hasta 1 año)"</f>
        <v>+ Deudores por avales y fianzas (hasta 1 año)</v>
      </c>
      <c r="B54" s="125">
        <v>1610</v>
      </c>
    </row>
    <row r="55" spans="1:2" ht="12.75">
      <c r="A55" s="123" t="str">
        <f>"+ Deudores por boletas de garantía y consig. judic. (a más de 1 año)"</f>
        <v>+ Deudores por boletas de garantía y consig. judic. (a más de 1 año)</v>
      </c>
      <c r="B55" s="125">
        <v>1655</v>
      </c>
    </row>
    <row r="56" spans="1:2" ht="12.75">
      <c r="A56" s="123" t="str">
        <f>"+ Deudores por avales y fianzas (a más de 1 año)"</f>
        <v>+ Deudores por avales y fianzas (a más de 1 año)</v>
      </c>
      <c r="B56" s="125">
        <v>1660</v>
      </c>
    </row>
    <row r="57" spans="1:2" ht="12.75">
      <c r="A57" s="126" t="str">
        <f>"+ Créditos comerciales vencidos"</f>
        <v>+ Créditos comerciales vencidos</v>
      </c>
      <c r="B57" s="125">
        <v>1401</v>
      </c>
    </row>
    <row r="58" spans="1:2" ht="12.75">
      <c r="A58" s="126" t="str">
        <f>"+ Operaciones de factoraje"</f>
        <v>+ Operaciones de factoraje</v>
      </c>
      <c r="B58" s="125">
        <v>1135</v>
      </c>
    </row>
    <row r="59" spans="1:2" ht="12.75">
      <c r="A59" s="126" t="str">
        <f>"+ Operaciones de factoraje (vencidas)"</f>
        <v>+ Operaciones de factoraje (vencidas)</v>
      </c>
      <c r="B59" s="125">
        <v>1418</v>
      </c>
    </row>
    <row r="60" spans="1:2" ht="12.75">
      <c r="A60" s="126" t="str">
        <f>"+ Contratos de leasing comercial"</f>
        <v>+ Contratos de leasing comercial</v>
      </c>
      <c r="B60" s="125" t="s">
        <v>167</v>
      </c>
    </row>
    <row r="61" spans="1:2" ht="12.75">
      <c r="A61" s="126" t="str">
        <f>"+ Intereses diferidos leasing comercial"</f>
        <v>+ Intereses diferidos leasing comercial</v>
      </c>
      <c r="B61" s="127" t="s">
        <v>168</v>
      </c>
    </row>
    <row r="62" spans="1:2" ht="12.75">
      <c r="A62" s="126" t="str">
        <f>"+ IVA diferido leasing comercial"</f>
        <v>+ IVA diferido leasing comercial</v>
      </c>
      <c r="B62" s="127" t="s">
        <v>169</v>
      </c>
    </row>
    <row r="63" spans="1:2" ht="12.75">
      <c r="A63" s="126" t="str">
        <f>"+ Contratos de leasing comercial vencidos"</f>
        <v>+ Contratos de leasing comercial vencidos</v>
      </c>
      <c r="B63" s="125" t="s">
        <v>170</v>
      </c>
    </row>
    <row r="64" spans="1:2" ht="12.75">
      <c r="A64" s="126" t="str">
        <f>"+ Otros saldos de la partida 1350"</f>
        <v>+ Otros saldos de la partida 1350</v>
      </c>
      <c r="B64" s="128" t="s">
        <v>171</v>
      </c>
    </row>
    <row r="65" spans="1:2" ht="12.75">
      <c r="A65" s="126" t="str">
        <f>"+ Varios deudores"</f>
        <v>+ Varios deudores</v>
      </c>
      <c r="B65" s="125">
        <v>1140</v>
      </c>
    </row>
    <row r="66" spans="1:2" ht="12.75">
      <c r="A66" s="126" t="str">
        <f>"+ Ptmos. productivos reprogramados"</f>
        <v>+ Ptmos. productivos reprogramados</v>
      </c>
      <c r="B66" s="125">
        <v>1235</v>
      </c>
    </row>
    <row r="67" spans="1:2" ht="12.75">
      <c r="A67" s="126" t="s">
        <v>172</v>
      </c>
      <c r="B67" s="125">
        <v>1245</v>
      </c>
    </row>
    <row r="68" spans="1:2" ht="12.75">
      <c r="A68" s="130" t="str">
        <f>"+ Dividendos por cobrar"</f>
        <v>+ Dividendos por cobrar</v>
      </c>
      <c r="B68" s="129">
        <v>1315</v>
      </c>
    </row>
    <row r="70" spans="1:2" ht="12.75">
      <c r="A70" s="188" t="s">
        <v>174</v>
      </c>
      <c r="B70" s="189"/>
    </row>
    <row r="71" spans="1:2" ht="12.75">
      <c r="A71" s="122"/>
      <c r="B71" s="122"/>
    </row>
    <row r="72" spans="1:2" ht="12.75">
      <c r="A72" s="126" t="s">
        <v>175</v>
      </c>
      <c r="B72" s="128">
        <v>1125</v>
      </c>
    </row>
    <row r="73" spans="1:2" ht="12.75">
      <c r="A73" s="126" t="str">
        <f>"+ Créditos exportación (hasta 1 año)"</f>
        <v>+ Créditos exportación (hasta 1 año)</v>
      </c>
      <c r="B73" s="125">
        <v>1130</v>
      </c>
    </row>
    <row r="74" spans="1:2" ht="12.75">
      <c r="A74" s="126" t="str">
        <f>"+ Créditos importación (a más de 1 año)"</f>
        <v>+ Créditos importación (a más de 1 año)</v>
      </c>
      <c r="B74" s="125">
        <v>1220</v>
      </c>
    </row>
    <row r="75" spans="1:2" ht="12.75">
      <c r="A75" s="126" t="str">
        <f>"+ Créditos exportación (a más de 1 año)"</f>
        <v>+ Créditos exportación (a más de 1 año)</v>
      </c>
      <c r="B75" s="125">
        <v>1225</v>
      </c>
    </row>
    <row r="76" spans="1:2" ht="12.75">
      <c r="A76" s="126" t="str">
        <f>"+ Deudores por carta de crédito simples o documentarias"</f>
        <v>+ Deudores por carta de crédito simples o documentarias</v>
      </c>
      <c r="B76" s="125">
        <v>1615</v>
      </c>
    </row>
    <row r="77" spans="1:2" ht="12.75">
      <c r="A77" s="130" t="str">
        <f>"+ Deudores por carta crédito del exterior confirmadas"</f>
        <v>+ Deudores por carta crédito del exterior confirmadas</v>
      </c>
      <c r="B77" s="129">
        <v>1620</v>
      </c>
    </row>
    <row r="79" spans="1:2" ht="12.75">
      <c r="A79" s="188" t="s">
        <v>176</v>
      </c>
      <c r="B79" s="189"/>
    </row>
    <row r="80" spans="1:2" ht="12.75">
      <c r="A80" s="121"/>
      <c r="B80" s="122"/>
    </row>
    <row r="81" spans="1:2" ht="12.75">
      <c r="A81" s="123" t="s">
        <v>177</v>
      </c>
      <c r="B81" s="124">
        <v>1120</v>
      </c>
    </row>
    <row r="82" spans="1:2" ht="12.75">
      <c r="A82" s="119" t="str">
        <f>"+ Ptmos. a instituciones Financieras (a más de 1 año)"</f>
        <v>+ Ptmos. a instituciones Financieras (a más de 1 año)</v>
      </c>
      <c r="B82" s="129">
        <v>1215</v>
      </c>
    </row>
    <row r="84" spans="1:2" ht="12.75">
      <c r="A84" s="188" t="s">
        <v>178</v>
      </c>
      <c r="B84" s="189"/>
    </row>
    <row r="85" spans="1:2" ht="12.75">
      <c r="A85" s="121"/>
      <c r="B85" s="122"/>
    </row>
    <row r="86" spans="1:2" ht="12.75">
      <c r="A86" s="123" t="s">
        <v>179</v>
      </c>
      <c r="B86" s="128">
        <v>1115</v>
      </c>
    </row>
    <row r="87" spans="1:2" ht="12.75">
      <c r="A87" s="123" t="str">
        <f>"+ Ptmos. de consumo (a más de 1 año)"</f>
        <v>+ Ptmos. de consumo (a más de 1 año)</v>
      </c>
      <c r="B87" s="125">
        <v>1210</v>
      </c>
    </row>
    <row r="88" spans="1:2" ht="12.75">
      <c r="A88" s="123" t="str">
        <f>"+ Créditos de consumo vencidos"</f>
        <v>+ Créditos de consumo vencidos</v>
      </c>
      <c r="B88" s="125">
        <v>1411</v>
      </c>
    </row>
    <row r="89" spans="1:2" ht="12.75">
      <c r="A89" s="123" t="str">
        <f>"+ Contratos de leasing de consumo"</f>
        <v>+ Contratos de leasing de consumo</v>
      </c>
      <c r="B89" s="125" t="s">
        <v>180</v>
      </c>
    </row>
    <row r="90" spans="1:2" ht="12.75">
      <c r="A90" s="126" t="str">
        <f>"+ Intereses diferidos leasing  de consumo"</f>
        <v>+ Intereses diferidos leasing  de consumo</v>
      </c>
      <c r="B90" s="127" t="s">
        <v>181</v>
      </c>
    </row>
    <row r="91" spans="1:2" ht="12.75">
      <c r="A91" s="126" t="str">
        <f>"+ IVA diferido leasing de consumo"</f>
        <v>+ IVA diferido leasing de consumo</v>
      </c>
      <c r="B91" s="127" t="s">
        <v>182</v>
      </c>
    </row>
    <row r="92" spans="1:2" ht="12.75">
      <c r="A92" s="123" t="str">
        <f>"+ Contratos de leasing consumo vencidos"</f>
        <v>+ Contratos de leasing consumo vencidos</v>
      </c>
      <c r="B92" s="125" t="s">
        <v>183</v>
      </c>
    </row>
    <row r="93" spans="1:2" ht="12.75">
      <c r="A93" s="123" t="str">
        <f>"+ Créditos hipotecarios para vivienda"</f>
        <v>+ Créditos hipotecarios para vivienda</v>
      </c>
      <c r="B93" s="125">
        <v>1246</v>
      </c>
    </row>
    <row r="94" spans="1:2" ht="12.75">
      <c r="A94" s="123" t="s">
        <v>184</v>
      </c>
      <c r="B94" s="125">
        <v>1247</v>
      </c>
    </row>
    <row r="95" spans="1:2" ht="12.75">
      <c r="A95" s="123" t="str">
        <f>"+ Ptmos. para vivienda en letras de crédito"</f>
        <v>+ Ptmos. para vivienda en letras de crédito</v>
      </c>
      <c r="B95" s="125">
        <v>1310</v>
      </c>
    </row>
    <row r="96" spans="1:2" ht="12.75">
      <c r="A96" s="123" t="str">
        <f>"+ Créditos hipotecarios para vivienda vencidos"</f>
        <v>+ Créditos hipotecarios para vivienda vencidos</v>
      </c>
      <c r="B96" s="125">
        <v>1416</v>
      </c>
    </row>
    <row r="97" spans="1:2" ht="12.75">
      <c r="A97" s="123" t="str">
        <f>"+ Contratos de leasing de vivienda"</f>
        <v>+ Contratos de leasing de vivienda</v>
      </c>
      <c r="B97" s="125" t="s">
        <v>185</v>
      </c>
    </row>
    <row r="98" spans="1:2" ht="12.75">
      <c r="A98" s="126" t="str">
        <f>"+ Intereses diferidos leasing de vivienda"</f>
        <v>+ Intereses diferidos leasing de vivienda</v>
      </c>
      <c r="B98" s="127" t="s">
        <v>186</v>
      </c>
    </row>
    <row r="99" spans="1:2" ht="12.75">
      <c r="A99" s="126" t="str">
        <f>"+ IVA diferido leasing de vivienda"</f>
        <v>+ IVA diferido leasing de vivienda</v>
      </c>
      <c r="B99" s="127" t="s">
        <v>187</v>
      </c>
    </row>
    <row r="100" spans="1:2" ht="12.75">
      <c r="A100" s="119" t="str">
        <f>"+ Contratos de leasing de vivienda vencidos"</f>
        <v>+ Contratos de leasing de vivienda vencidos</v>
      </c>
      <c r="B100" s="129" t="s">
        <v>188</v>
      </c>
    </row>
    <row r="102" spans="1:2" ht="12.75">
      <c r="A102" s="188" t="s">
        <v>247</v>
      </c>
      <c r="B102" s="189"/>
    </row>
    <row r="103" spans="1:2" ht="12.75">
      <c r="A103" s="122"/>
      <c r="B103" s="122"/>
    </row>
    <row r="104" spans="1:2" ht="12.75">
      <c r="A104" s="126" t="s">
        <v>179</v>
      </c>
      <c r="B104" s="128">
        <v>1115</v>
      </c>
    </row>
    <row r="105" spans="1:2" ht="12.75">
      <c r="A105" s="126" t="str">
        <f>"+ Ptmos. de consumo (a más de 1 año)"</f>
        <v>+ Ptmos. de consumo (a más de 1 año)</v>
      </c>
      <c r="B105" s="125">
        <v>1210</v>
      </c>
    </row>
    <row r="106" spans="1:2" ht="12.75">
      <c r="A106" s="126" t="str">
        <f>"+ Créditos de consumo vencidos"</f>
        <v>+ Créditos de consumo vencidos</v>
      </c>
      <c r="B106" s="125">
        <v>1411</v>
      </c>
    </row>
    <row r="107" spans="1:2" ht="12.75">
      <c r="A107" s="126" t="str">
        <f>"+ Contratos de leasing de consumo"</f>
        <v>+ Contratos de leasing de consumo</v>
      </c>
      <c r="B107" s="125" t="s">
        <v>180</v>
      </c>
    </row>
    <row r="108" spans="1:2" ht="12.75">
      <c r="A108" s="126" t="str">
        <f>"+ Intereses diferidos leasing  de consumo"</f>
        <v>+ Intereses diferidos leasing  de consumo</v>
      </c>
      <c r="B108" s="128" t="s">
        <v>181</v>
      </c>
    </row>
    <row r="109" spans="1:2" ht="12.75">
      <c r="A109" s="126" t="str">
        <f>"+ IVA diferido leasing de consumo"</f>
        <v>+ IVA diferido leasing de consumo</v>
      </c>
      <c r="B109" s="128" t="s">
        <v>182</v>
      </c>
    </row>
    <row r="110" spans="1:2" ht="12.75">
      <c r="A110" s="130" t="str">
        <f>"+ Contratos de leasing consumo vencidos"</f>
        <v>+ Contratos de leasing consumo vencidos</v>
      </c>
      <c r="B110" s="129" t="s">
        <v>183</v>
      </c>
    </row>
    <row r="112" spans="1:2" ht="12.75">
      <c r="A112" s="188" t="s">
        <v>248</v>
      </c>
      <c r="B112" s="189"/>
    </row>
    <row r="113" spans="1:2" ht="12.75">
      <c r="A113" s="121"/>
      <c r="B113" s="122"/>
    </row>
    <row r="114" spans="1:2" ht="12.75">
      <c r="A114" s="123" t="s">
        <v>189</v>
      </c>
      <c r="B114" s="128">
        <v>1246</v>
      </c>
    </row>
    <row r="115" spans="1:2" ht="12.75">
      <c r="A115" s="123" t="s">
        <v>184</v>
      </c>
      <c r="B115" s="125">
        <v>1247</v>
      </c>
    </row>
    <row r="116" spans="1:2" ht="12.75">
      <c r="A116" s="123" t="str">
        <f>"+ Ptmos. para vivienda en letras de crédito"</f>
        <v>+ Ptmos. para vivienda en letras de crédito</v>
      </c>
      <c r="B116" s="125">
        <v>1310</v>
      </c>
    </row>
    <row r="117" spans="1:2" ht="12.75">
      <c r="A117" s="123" t="str">
        <f>"+ Créditos hipotecarios para vivienda vencidos"</f>
        <v>+ Créditos hipotecarios para vivienda vencidos</v>
      </c>
      <c r="B117" s="125">
        <v>1416</v>
      </c>
    </row>
    <row r="118" spans="1:2" ht="12.75">
      <c r="A118" s="123" t="str">
        <f>"+ Contratos de leasing de vivienda"</f>
        <v>+ Contratos de leasing de vivienda</v>
      </c>
      <c r="B118" s="125" t="s">
        <v>185</v>
      </c>
    </row>
    <row r="119" spans="1:2" ht="12.75">
      <c r="A119" s="126" t="str">
        <f>"+ Intereses diferidos leasing de vivienda"</f>
        <v>+ Intereses diferidos leasing de vivienda</v>
      </c>
      <c r="B119" s="127" t="s">
        <v>186</v>
      </c>
    </row>
    <row r="120" spans="1:2" ht="12.75">
      <c r="A120" s="126" t="str">
        <f>"+ IVA diferido leasing de vivienda"</f>
        <v>+ IVA diferido leasing de vivienda</v>
      </c>
      <c r="B120" s="127" t="s">
        <v>187</v>
      </c>
    </row>
    <row r="121" spans="1:2" ht="12.75">
      <c r="A121" s="119" t="str">
        <f>"+ Contratos de leasing de vivienda vencidos"</f>
        <v>+ Contratos de leasing de vivienda vencidos</v>
      </c>
      <c r="B121" s="129" t="s">
        <v>188</v>
      </c>
    </row>
    <row r="122" spans="1:2" ht="12.75">
      <c r="A122" s="33"/>
      <c r="B122" s="131"/>
    </row>
    <row r="123" spans="1:2" ht="12.75">
      <c r="A123" s="188" t="s">
        <v>70</v>
      </c>
      <c r="B123" s="189"/>
    </row>
    <row r="124" spans="1:2" ht="12.75">
      <c r="A124" s="117"/>
      <c r="B124" s="118"/>
    </row>
    <row r="125" spans="1:2" ht="12.75">
      <c r="A125" s="119" t="s">
        <v>70</v>
      </c>
      <c r="B125" s="120" t="s">
        <v>190</v>
      </c>
    </row>
    <row r="126" ht="12.75">
      <c r="A126" s="6"/>
    </row>
    <row r="127" spans="1:2" ht="12.75">
      <c r="A127" s="188" t="s">
        <v>71</v>
      </c>
      <c r="B127" s="189"/>
    </row>
    <row r="128" spans="1:2" ht="12.75">
      <c r="A128" s="117"/>
      <c r="B128" s="118"/>
    </row>
    <row r="129" spans="1:2" ht="12.75">
      <c r="A129" s="123" t="s">
        <v>191</v>
      </c>
      <c r="B129" s="128" t="s">
        <v>192</v>
      </c>
    </row>
    <row r="130" spans="1:2" ht="12.75">
      <c r="A130" s="123" t="str">
        <f>"- Cuentas ajuste control pasivo"</f>
        <v>- Cuentas ajuste control pasivo</v>
      </c>
      <c r="B130" s="128" t="str">
        <f>"- (4505 a 4525)"</f>
        <v>- (4505 a 4525)</v>
      </c>
    </row>
    <row r="131" spans="1:2" ht="12.75">
      <c r="A131" s="123" t="str">
        <f>"- Documentos a cargo de otros bancos (canje)"</f>
        <v>- Documentos a cargo de otros bancos (canje)</v>
      </c>
      <c r="B131" s="128" t="str">
        <f>"- 1015"</f>
        <v>- 1015</v>
      </c>
    </row>
    <row r="132" spans="1:2" ht="12.75">
      <c r="A132" s="119" t="str">
        <f>"- Operaciones a futuro pasivo"</f>
        <v>- Operaciones a futuro pasivo</v>
      </c>
      <c r="B132" s="132">
        <v>4127</v>
      </c>
    </row>
    <row r="133" ht="12.75">
      <c r="A133" s="6"/>
    </row>
    <row r="134" spans="1:2" ht="12.75">
      <c r="A134" s="188" t="s">
        <v>72</v>
      </c>
      <c r="B134" s="189"/>
    </row>
    <row r="135" spans="1:2" ht="12.75">
      <c r="A135" s="121"/>
      <c r="B135" s="122"/>
    </row>
    <row r="136" spans="1:2" ht="12.75">
      <c r="A136" s="123" t="s">
        <v>193</v>
      </c>
      <c r="B136" s="126">
        <v>3005</v>
      </c>
    </row>
    <row r="137" spans="1:2" ht="12.75">
      <c r="A137" s="123" t="str">
        <f>"+ Otros saldos acreedores a la vista"</f>
        <v>+ Otros saldos acreedores a la vista</v>
      </c>
      <c r="B137" s="133">
        <v>3010</v>
      </c>
    </row>
    <row r="138" spans="1:2" ht="12.75">
      <c r="A138" s="123" t="str">
        <f>"+ Cuentas de depósito a la vista"</f>
        <v>+ Cuentas de depósito a la vista</v>
      </c>
      <c r="B138" s="133">
        <v>3015</v>
      </c>
    </row>
    <row r="139" spans="1:2" ht="12.75">
      <c r="A139" s="123" t="str">
        <f>"- Documentos a cargo de otros bancos (canje)"</f>
        <v>- Documentos a cargo de otros bancos (canje)</v>
      </c>
      <c r="B139" s="134">
        <v>1015</v>
      </c>
    </row>
    <row r="140" spans="1:2" ht="12.75">
      <c r="A140" s="123" t="str">
        <f>"+ Depósitos y captaciones a plazo 30 a 89 días"</f>
        <v>+ Depósitos y captaciones a plazo 30 a 89 días</v>
      </c>
      <c r="B140" s="133">
        <v>3020</v>
      </c>
    </row>
    <row r="141" spans="1:2" ht="12.75">
      <c r="A141" s="123" t="str">
        <f>"+ Depósitos y captaciones a plazo 90 días a 1 año"</f>
        <v>+ Depósitos y captaciones a plazo 90 días a 1 año</v>
      </c>
      <c r="B141" s="133">
        <v>3025</v>
      </c>
    </row>
    <row r="142" spans="1:2" ht="12.75">
      <c r="A142" s="123" t="str">
        <f>"+ Otros saldos acreedores a plazo"</f>
        <v>+ Otros saldos acreedores a plazo</v>
      </c>
      <c r="B142" s="133">
        <v>3030</v>
      </c>
    </row>
    <row r="143" spans="1:2" ht="12.75">
      <c r="A143" s="123" t="str">
        <f>"+ Depósitos de ahorro a plazo"</f>
        <v>+ Depósitos de ahorro a plazo</v>
      </c>
      <c r="B143" s="133">
        <v>3035</v>
      </c>
    </row>
    <row r="144" spans="1:2" ht="12.75">
      <c r="A144" s="119" t="str">
        <f>"+ Depósitos y captaciones (a más de 1 año)"</f>
        <v>+ Depósitos y captaciones (a más de 1 año)</v>
      </c>
      <c r="B144" s="135">
        <v>3065</v>
      </c>
    </row>
    <row r="146" spans="1:2" ht="12.75">
      <c r="A146" s="188" t="s">
        <v>249</v>
      </c>
      <c r="B146" s="189"/>
    </row>
    <row r="147" spans="1:2" ht="12.75">
      <c r="A147" s="136"/>
      <c r="B147" s="137"/>
    </row>
    <row r="148" spans="1:2" ht="12.75">
      <c r="A148" s="126" t="s">
        <v>193</v>
      </c>
      <c r="B148" s="126">
        <v>3005</v>
      </c>
    </row>
    <row r="149" spans="1:2" ht="12.75">
      <c r="A149" s="126" t="str">
        <f>"+ Otros saldos acreedores a la vista"</f>
        <v>+ Otros saldos acreedores a la vista</v>
      </c>
      <c r="B149" s="133">
        <v>3010</v>
      </c>
    </row>
    <row r="150" spans="1:2" ht="12.75">
      <c r="A150" s="126" t="str">
        <f>"+ Cuentas de depósito a la vista"</f>
        <v>+ Cuentas de depósito a la vista</v>
      </c>
      <c r="B150" s="133">
        <v>3015</v>
      </c>
    </row>
    <row r="151" spans="1:2" ht="12.75">
      <c r="A151" s="130" t="str">
        <f>"- Documentos a cargo de otros bancos (canje)"</f>
        <v>- Documentos a cargo de otros bancos (canje)</v>
      </c>
      <c r="B151" s="138">
        <v>1015</v>
      </c>
    </row>
    <row r="153" spans="1:2" ht="12.75">
      <c r="A153" s="188" t="s">
        <v>194</v>
      </c>
      <c r="B153" s="189"/>
    </row>
    <row r="154" spans="1:2" ht="12.75">
      <c r="A154" s="139"/>
      <c r="B154" s="122"/>
    </row>
    <row r="155" spans="1:2" ht="12.75">
      <c r="A155" s="123" t="str">
        <f>"   Depósitos y captaciones a plazo 30 a 89 días"</f>
        <v>   Depósitos y captaciones a plazo 30 a 89 días</v>
      </c>
      <c r="B155" s="126">
        <v>3020</v>
      </c>
    </row>
    <row r="156" spans="1:2" ht="12.75">
      <c r="A156" s="123" t="str">
        <f>"+ Depósitos y captaciones a plazo 90 días a 1 año"</f>
        <v>+ Depósitos y captaciones a plazo 90 días a 1 año</v>
      </c>
      <c r="B156" s="133">
        <v>3025</v>
      </c>
    </row>
    <row r="157" spans="1:2" ht="12.75">
      <c r="A157" s="123" t="str">
        <f>"+ Otros saldos acreedores a plazo"</f>
        <v>+ Otros saldos acreedores a plazo</v>
      </c>
      <c r="B157" s="133">
        <v>3030</v>
      </c>
    </row>
    <row r="158" spans="1:2" ht="12.75">
      <c r="A158" s="123" t="str">
        <f>"+ Depósitos de ahorro a plazo"</f>
        <v>+ Depósitos de ahorro a plazo</v>
      </c>
      <c r="B158" s="133">
        <v>3035</v>
      </c>
    </row>
    <row r="159" spans="1:2" ht="12.75">
      <c r="A159" s="119" t="str">
        <f>"+ Depósitos y captaciones (a más de 1 año)"</f>
        <v>+ Depósitos y captaciones (a más de 1 año)</v>
      </c>
      <c r="B159" s="135">
        <v>3065</v>
      </c>
    </row>
    <row r="161" spans="1:2" ht="12.75">
      <c r="A161" s="188" t="s">
        <v>115</v>
      </c>
      <c r="B161" s="189"/>
    </row>
    <row r="162" spans="1:2" ht="12.75">
      <c r="A162" s="121"/>
      <c r="B162" s="122"/>
    </row>
    <row r="163" spans="1:2" ht="12.75">
      <c r="A163" s="123" t="s">
        <v>195</v>
      </c>
      <c r="B163" s="128" t="s">
        <v>196</v>
      </c>
    </row>
    <row r="164" spans="1:2" ht="12.75">
      <c r="A164" s="119" t="str">
        <f>"+ Cartas de crédito simples o documentarias"</f>
        <v>+ Cartas de crédito simples o documentarias</v>
      </c>
      <c r="B164" s="135">
        <v>3615</v>
      </c>
    </row>
    <row r="166" spans="1:2" ht="12.75">
      <c r="A166" s="188" t="s">
        <v>116</v>
      </c>
      <c r="B166" s="189"/>
    </row>
    <row r="167" spans="1:2" ht="12.75">
      <c r="A167" s="122"/>
      <c r="B167" s="122"/>
    </row>
    <row r="168" spans="1:2" ht="12.75">
      <c r="A168" s="126" t="str">
        <f>"Obligaciones con letras  de crédito"</f>
        <v>Obligaciones con letras  de crédito</v>
      </c>
      <c r="B168" s="128" t="s">
        <v>197</v>
      </c>
    </row>
    <row r="169" spans="1:2" ht="12.75">
      <c r="A169" s="126" t="str">
        <f>" + Obligaciones por bonos (ordinarios)"</f>
        <v> + Obligaciones por bonos (ordinarios)</v>
      </c>
      <c r="B169" s="133">
        <v>3075</v>
      </c>
    </row>
    <row r="170" spans="1:2" ht="12.75">
      <c r="A170" s="130" t="s">
        <v>198</v>
      </c>
      <c r="B170" s="135">
        <v>4190</v>
      </c>
    </row>
    <row r="172" spans="1:2" ht="12.75">
      <c r="A172" s="188" t="s">
        <v>199</v>
      </c>
      <c r="B172" s="189"/>
    </row>
    <row r="173" spans="1:2" ht="12.75">
      <c r="A173" s="118"/>
      <c r="B173" s="118"/>
    </row>
    <row r="174" spans="1:2" ht="12.75">
      <c r="A174" s="130" t="str">
        <f>"Obligaciones con letras  de crédito"</f>
        <v>Obligaciones con letras  de crédito</v>
      </c>
      <c r="B174" s="120" t="s">
        <v>197</v>
      </c>
    </row>
    <row r="176" spans="1:2" ht="12.75">
      <c r="A176" s="188" t="s">
        <v>200</v>
      </c>
      <c r="B176" s="189"/>
    </row>
    <row r="177" spans="1:2" ht="12.75">
      <c r="A177" s="122"/>
      <c r="B177" s="122"/>
    </row>
    <row r="178" spans="1:2" ht="12.75">
      <c r="A178" s="130" t="str">
        <f>"Obligaciones por bonos (ordinarios)"</f>
        <v>Obligaciones por bonos (ordinarios)</v>
      </c>
      <c r="B178" s="140">
        <v>3075</v>
      </c>
    </row>
    <row r="180" spans="1:2" ht="12.75">
      <c r="A180" s="188" t="s">
        <v>201</v>
      </c>
      <c r="B180" s="189"/>
    </row>
    <row r="181" spans="1:2" ht="12.75">
      <c r="A181" s="121"/>
      <c r="B181" s="141"/>
    </row>
    <row r="182" spans="1:2" ht="12.75">
      <c r="A182" s="119" t="s">
        <v>201</v>
      </c>
      <c r="B182" s="130">
        <v>4190</v>
      </c>
    </row>
    <row r="184" spans="1:2" ht="12.75">
      <c r="A184" s="188" t="s">
        <v>73</v>
      </c>
      <c r="B184" s="189"/>
    </row>
    <row r="185" spans="1:2" ht="12.75">
      <c r="A185" s="122"/>
      <c r="B185" s="141"/>
    </row>
    <row r="186" spans="1:2" ht="12.75">
      <c r="A186" s="130" t="s">
        <v>73</v>
      </c>
      <c r="B186" s="120" t="s">
        <v>202</v>
      </c>
    </row>
    <row r="188" spans="1:2" ht="12.75">
      <c r="A188" s="188" t="s">
        <v>76</v>
      </c>
      <c r="B188" s="189"/>
    </row>
    <row r="189" spans="1:2" ht="12.75">
      <c r="A189" s="122"/>
      <c r="B189" s="141"/>
    </row>
    <row r="190" spans="1:2" ht="12.75">
      <c r="A190" s="119" t="s">
        <v>76</v>
      </c>
      <c r="B190" s="120" t="s">
        <v>203</v>
      </c>
    </row>
    <row r="192" spans="1:2" ht="12.75">
      <c r="A192" s="188" t="s">
        <v>75</v>
      </c>
      <c r="B192" s="189"/>
    </row>
    <row r="193" spans="1:2" ht="12.75">
      <c r="A193" s="122"/>
      <c r="B193" s="141"/>
    </row>
    <row r="194" spans="1:2" ht="12.75">
      <c r="A194" s="126" t="s">
        <v>204</v>
      </c>
      <c r="B194" s="128">
        <v>1350</v>
      </c>
    </row>
    <row r="195" spans="1:2" ht="12.75">
      <c r="A195" s="130" t="str">
        <f>"+ contratos de leasing vencidos"</f>
        <v>+ contratos de leasing vencidos</v>
      </c>
      <c r="B195" s="135">
        <v>1421</v>
      </c>
    </row>
    <row r="196" spans="1:2" ht="12.75">
      <c r="A196" s="6"/>
      <c r="B196" s="142"/>
    </row>
    <row r="197" spans="1:2" ht="12.75">
      <c r="A197" s="188" t="s">
        <v>93</v>
      </c>
      <c r="B197" s="189"/>
    </row>
    <row r="198" spans="1:2" ht="12.75">
      <c r="A198" s="122"/>
      <c r="B198" s="141"/>
    </row>
    <row r="199" spans="1:2" ht="12.75">
      <c r="A199" s="126" t="s">
        <v>205</v>
      </c>
      <c r="B199" s="125">
        <v>1135</v>
      </c>
    </row>
    <row r="200" spans="1:2" ht="12.75">
      <c r="A200" s="130" t="str">
        <f>"+ Operaciones de factoraje vencidas"</f>
        <v>+ Operaciones de factoraje vencidas</v>
      </c>
      <c r="B200" s="129">
        <v>1418</v>
      </c>
    </row>
    <row r="202" spans="1:2" ht="12.75">
      <c r="A202" s="188" t="s">
        <v>74</v>
      </c>
      <c r="B202" s="189"/>
    </row>
    <row r="203" spans="1:2" ht="12.75">
      <c r="A203" s="122"/>
      <c r="B203" s="122"/>
    </row>
    <row r="204" spans="1:2" ht="12.75">
      <c r="A204" s="126" t="str">
        <f>"   Deudores por boletas de garantía y consig. judic. (hasta 1 año)"</f>
        <v>   Deudores por boletas de garantía y consig. judic. (hasta 1 año)</v>
      </c>
      <c r="B204" s="124">
        <v>1605</v>
      </c>
    </row>
    <row r="205" spans="1:2" ht="12.75">
      <c r="A205" s="126" t="str">
        <f>"+ Deudores por avales y fianzas (hasta 1 año)"</f>
        <v>+ Deudores por avales y fianzas (hasta 1 año)</v>
      </c>
      <c r="B205" s="125">
        <v>1610</v>
      </c>
    </row>
    <row r="206" spans="1:2" ht="12.75">
      <c r="A206" s="126" t="str">
        <f>"+ Deudores por carta crédito simples y documentarias"</f>
        <v>+ Deudores por carta crédito simples y documentarias</v>
      </c>
      <c r="B206" s="125">
        <v>1615</v>
      </c>
    </row>
    <row r="207" spans="1:2" ht="12.75">
      <c r="A207" s="126" t="str">
        <f>"+ Deudores por carta crédito del exterior confirmadas"</f>
        <v>+ Deudores por carta crédito del exterior confirmadas</v>
      </c>
      <c r="B207" s="125">
        <v>1620</v>
      </c>
    </row>
    <row r="208" spans="1:2" ht="12.75">
      <c r="A208" s="126" t="str">
        <f>"+ Deudores por boletas de garantía y consig. judic. (a más de 1 año)"</f>
        <v>+ Deudores por boletas de garantía y consig. judic. (a más de 1 año)</v>
      </c>
      <c r="B208" s="125">
        <v>1655</v>
      </c>
    </row>
    <row r="209" spans="1:2" ht="12.75">
      <c r="A209" s="130" t="str">
        <f>"+ Deudores por avales y fianzas (a más de 1 año)"</f>
        <v>+ Deudores por avales y fianzas (a más de 1 año)</v>
      </c>
      <c r="B209" s="129">
        <v>1660</v>
      </c>
    </row>
    <row r="212" spans="1:2" ht="12.75">
      <c r="A212" s="188" t="s">
        <v>77</v>
      </c>
      <c r="B212" s="189"/>
    </row>
    <row r="213" spans="1:2" ht="12.75">
      <c r="A213" s="121"/>
      <c r="B213" s="122"/>
    </row>
    <row r="214" spans="1:2" ht="12.75">
      <c r="A214" s="119" t="s">
        <v>77</v>
      </c>
      <c r="B214" s="120" t="s">
        <v>254</v>
      </c>
    </row>
    <row r="215" spans="1:2" ht="12.75">
      <c r="A215" s="6"/>
      <c r="B215" s="143"/>
    </row>
    <row r="217" spans="1:2" ht="12.75">
      <c r="A217" s="188" t="s">
        <v>206</v>
      </c>
      <c r="B217" s="189"/>
    </row>
    <row r="218" spans="1:2" ht="12.75">
      <c r="A218" s="121"/>
      <c r="B218" s="122"/>
    </row>
    <row r="219" spans="1:2" ht="12.75">
      <c r="A219" s="123" t="s">
        <v>207</v>
      </c>
      <c r="B219" s="128" t="s">
        <v>208</v>
      </c>
    </row>
    <row r="220" spans="1:2" ht="12.75">
      <c r="A220" s="123" t="str">
        <f>"+ Reajustes percibidos y devengados"</f>
        <v>+ Reajustes percibidos y devengados</v>
      </c>
      <c r="B220" s="128" t="s">
        <v>209</v>
      </c>
    </row>
    <row r="221" spans="1:2" ht="12.75">
      <c r="A221" s="123" t="str">
        <f>"- Intereses pagados y devengados"</f>
        <v>- Intereses pagados y devengados</v>
      </c>
      <c r="B221" s="128" t="s">
        <v>210</v>
      </c>
    </row>
    <row r="222" spans="1:2" ht="12.75">
      <c r="A222" s="123" t="str">
        <f>"- Reajustes pagados y devengados"</f>
        <v>- Reajustes pagados y devengados</v>
      </c>
      <c r="B222" s="128" t="str">
        <f>"- 5305 a 5400"</f>
        <v>- 5305 a 5400</v>
      </c>
    </row>
    <row r="223" spans="1:2" ht="12.75">
      <c r="A223" s="123" t="str">
        <f>"+ Utilidades de cambio"</f>
        <v>+ Utilidades de cambio</v>
      </c>
      <c r="B223" s="128" t="s">
        <v>211</v>
      </c>
    </row>
    <row r="224" spans="1:2" ht="12.75">
      <c r="A224" s="119" t="str">
        <f>"- Pérdidas de cambio"</f>
        <v>- Pérdidas de cambio</v>
      </c>
      <c r="B224" s="120" t="str">
        <f>"- 5705 a 5710"</f>
        <v>- 5705 a 5710</v>
      </c>
    </row>
    <row r="226" spans="1:2" ht="12.75">
      <c r="A226" s="188" t="s">
        <v>80</v>
      </c>
      <c r="B226" s="189"/>
    </row>
    <row r="227" spans="1:2" ht="12.75">
      <c r="A227" s="122"/>
      <c r="B227" s="122"/>
    </row>
    <row r="228" spans="1:2" ht="12.75">
      <c r="A228" s="126" t="str">
        <f>"  Comisiones percibidas y devengadas"</f>
        <v>  Comisiones percibidas y devengadas</v>
      </c>
      <c r="B228" s="128" t="s">
        <v>212</v>
      </c>
    </row>
    <row r="229" spans="1:2" ht="12.75">
      <c r="A229" s="130" t="str">
        <f>"- Comisiones pagadas y devengadas"</f>
        <v>- Comisiones pagadas y devengadas</v>
      </c>
      <c r="B229" s="120" t="str">
        <f>"- 5505 a 5530"</f>
        <v>- 5505 a 5530</v>
      </c>
    </row>
    <row r="231" spans="1:2" ht="12.75">
      <c r="A231" s="188" t="s">
        <v>213</v>
      </c>
      <c r="B231" s="189"/>
    </row>
    <row r="232" spans="1:2" ht="12.75">
      <c r="A232" s="122"/>
      <c r="B232" s="122"/>
    </row>
    <row r="233" spans="1:2" ht="12.75">
      <c r="A233" s="126"/>
      <c r="B233" s="126"/>
    </row>
    <row r="234" spans="1:2" ht="12.75">
      <c r="A234" s="130" t="s">
        <v>214</v>
      </c>
      <c r="B234" s="144" t="s">
        <v>215</v>
      </c>
    </row>
    <row r="236" spans="1:2" ht="12.75">
      <c r="A236" s="188" t="s">
        <v>216</v>
      </c>
      <c r="B236" s="189"/>
    </row>
    <row r="237" spans="1:2" ht="12.75">
      <c r="A237" s="121"/>
      <c r="B237" s="122"/>
    </row>
    <row r="238" spans="1:2" ht="12.75">
      <c r="A238" s="123" t="s">
        <v>217</v>
      </c>
      <c r="B238" s="128" t="s">
        <v>218</v>
      </c>
    </row>
    <row r="239" spans="1:2" ht="12.75">
      <c r="A239" s="123" t="str">
        <f>"- Pérdidas por diferencias de precio"</f>
        <v>- Pérdidas por diferencias de precio</v>
      </c>
      <c r="B239" s="128" t="str">
        <f>"- 5605 a 5650"</f>
        <v>- 5605 a 5650</v>
      </c>
    </row>
    <row r="240" spans="1:2" ht="12.75">
      <c r="A240" s="123" t="str">
        <f>"+ Otros Ingresos de operación"</f>
        <v>+ Otros Ingresos de operación</v>
      </c>
      <c r="B240" s="125">
        <v>7910</v>
      </c>
    </row>
    <row r="241" spans="1:2" ht="12.75">
      <c r="A241" s="123" t="str">
        <f>"- Otros gastos de operación"</f>
        <v>- Otros gastos de operación</v>
      </c>
      <c r="B241" s="128" t="str">
        <f>"- 5900"</f>
        <v>- 5900</v>
      </c>
    </row>
    <row r="242" spans="1:2" ht="12.75">
      <c r="A242" s="123" t="str">
        <f>"+ Corrección Monetaria (ingreso)"</f>
        <v>+ Corrección Monetaria (ingreso)</v>
      </c>
      <c r="B242" s="125">
        <v>8405</v>
      </c>
    </row>
    <row r="243" spans="1:2" ht="12.75">
      <c r="A243" s="119" t="str">
        <f>"- Corrección Monetaria (gasto)"</f>
        <v>- Corrección Monetaria (gasto)</v>
      </c>
      <c r="B243" s="132">
        <v>6405</v>
      </c>
    </row>
    <row r="245" spans="1:2" ht="12.75">
      <c r="A245" s="190" t="s">
        <v>82</v>
      </c>
      <c r="B245" s="191"/>
    </row>
    <row r="246" spans="1:2" ht="12.75">
      <c r="A246" s="121"/>
      <c r="B246" s="157"/>
    </row>
    <row r="247" spans="1:2" ht="12.75">
      <c r="A247" s="123" t="s">
        <v>219</v>
      </c>
      <c r="B247" s="158"/>
    </row>
    <row r="248" spans="1:2" ht="12.75">
      <c r="A248" s="123" t="str">
        <f>"+ Comisiones netas"</f>
        <v>+ Comisiones netas</v>
      </c>
      <c r="B248" s="158"/>
    </row>
    <row r="249" spans="1:2" ht="12.75">
      <c r="A249" s="123" t="str">
        <f>"+ Recuperación de colocaciones  e inversiones castigadas"</f>
        <v>+ Recuperación de colocaciones  e inversiones castigadas</v>
      </c>
      <c r="B249" s="158"/>
    </row>
    <row r="250" spans="1:2" ht="12.75">
      <c r="A250" s="119" t="str">
        <f>"+ Otros ingresos de operación netos"</f>
        <v>+ Otros ingresos de operación netos</v>
      </c>
      <c r="B250" s="159"/>
    </row>
    <row r="251" spans="1:2" ht="12.75">
      <c r="A251" s="6"/>
      <c r="B251" s="6"/>
    </row>
    <row r="252" spans="1:2" ht="12.75">
      <c r="A252" s="188" t="s">
        <v>83</v>
      </c>
      <c r="B252" s="189"/>
    </row>
    <row r="253" spans="1:2" ht="12.75">
      <c r="A253" s="122"/>
      <c r="B253" s="122"/>
    </row>
    <row r="254" spans="1:2" ht="12.75">
      <c r="A254" s="130" t="s">
        <v>83</v>
      </c>
      <c r="B254" s="120" t="s">
        <v>220</v>
      </c>
    </row>
    <row r="255" spans="1:2" ht="12.75">
      <c r="A255" s="6"/>
      <c r="B255" s="6"/>
    </row>
    <row r="256" spans="1:2" ht="12.75">
      <c r="A256" s="188" t="s">
        <v>49</v>
      </c>
      <c r="B256" s="189"/>
    </row>
    <row r="257" spans="1:2" ht="12.75">
      <c r="A257" s="122"/>
      <c r="B257" s="122"/>
    </row>
    <row r="258" spans="1:2" ht="12.75">
      <c r="A258" s="126" t="s">
        <v>221</v>
      </c>
      <c r="B258" s="128" t="s">
        <v>222</v>
      </c>
    </row>
    <row r="259" spans="1:2" ht="12.75">
      <c r="A259" s="130" t="s">
        <v>223</v>
      </c>
      <c r="B259" s="144" t="s">
        <v>224</v>
      </c>
    </row>
    <row r="261" spans="1:2" ht="12.75">
      <c r="A261" s="190" t="s">
        <v>84</v>
      </c>
      <c r="B261" s="191"/>
    </row>
    <row r="262" spans="1:2" ht="12.75">
      <c r="A262" s="121"/>
      <c r="B262" s="157"/>
    </row>
    <row r="263" spans="1:2" ht="12.75">
      <c r="A263" s="123" t="s">
        <v>225</v>
      </c>
      <c r="B263" s="158"/>
    </row>
    <row r="264" spans="1:2" ht="12.75">
      <c r="A264" s="123" t="str">
        <f>"- Gastos de apoyo operacional"</f>
        <v>- Gastos de apoyo operacional</v>
      </c>
      <c r="B264" s="158"/>
    </row>
    <row r="265" spans="1:2" ht="12.75">
      <c r="A265" s="119" t="str">
        <f>"- Gasto en provisiones"</f>
        <v>- Gasto en provisiones</v>
      </c>
      <c r="B265" s="159"/>
    </row>
    <row r="266" spans="1:2" ht="12.75">
      <c r="A266" s="64"/>
      <c r="B266" s="64"/>
    </row>
    <row r="267" spans="1:2" ht="12.75">
      <c r="A267" s="188" t="s">
        <v>250</v>
      </c>
      <c r="B267" s="189"/>
    </row>
    <row r="268" spans="1:2" ht="12.75">
      <c r="A268" s="122"/>
      <c r="B268" s="122"/>
    </row>
    <row r="269" spans="1:2" ht="12.75">
      <c r="A269" s="145" t="s">
        <v>227</v>
      </c>
      <c r="B269" s="146">
        <v>8350</v>
      </c>
    </row>
    <row r="270" spans="1:2" ht="12.75">
      <c r="A270" s="145" t="str">
        <f>"- Pérdidas por inversión en sociedades"</f>
        <v>- Pérdidas por inversión en sociedades</v>
      </c>
      <c r="B270" s="147">
        <v>6350</v>
      </c>
    </row>
    <row r="271" spans="1:2" ht="12.75">
      <c r="A271" s="123" t="str">
        <f>"+ Utilidades de sucursales en el exterior"</f>
        <v>+ Utilidades de sucursales en el exterior</v>
      </c>
      <c r="B271" s="125">
        <v>8320</v>
      </c>
    </row>
    <row r="272" spans="1:2" ht="12.75">
      <c r="A272" s="119" t="str">
        <f>"- Perdidas de sucursales en el exterior"</f>
        <v>- Perdidas de sucursales en el exterior</v>
      </c>
      <c r="B272" s="132">
        <v>6320</v>
      </c>
    </row>
    <row r="273" spans="1:2" ht="12.75">
      <c r="A273" s="64"/>
      <c r="B273" s="64"/>
    </row>
    <row r="274" spans="1:2" ht="12.75">
      <c r="A274" s="190" t="s">
        <v>251</v>
      </c>
      <c r="B274" s="191"/>
    </row>
    <row r="275" spans="1:2" ht="12.75">
      <c r="A275" s="192" t="s">
        <v>228</v>
      </c>
      <c r="B275" s="193"/>
    </row>
    <row r="276" spans="1:2" ht="12.75">
      <c r="A276" s="117"/>
      <c r="B276" s="148"/>
    </row>
    <row r="277" spans="1:2" ht="12.75">
      <c r="A277" s="160" t="s">
        <v>229</v>
      </c>
      <c r="B277" s="161"/>
    </row>
    <row r="278" spans="1:2" ht="12.75">
      <c r="A278" s="162" t="str">
        <f>"+ Utilidades de inversiones en sociedades y de sucurs. en el exterior"</f>
        <v>+ Utilidades de inversiones en sociedades y de sucurs. en el exterior</v>
      </c>
      <c r="B278" s="163"/>
    </row>
    <row r="279" spans="1:2" ht="12.75">
      <c r="A279" s="64"/>
      <c r="B279" s="64"/>
    </row>
    <row r="280" spans="1:2" ht="12.75">
      <c r="A280" s="188" t="s">
        <v>104</v>
      </c>
      <c r="B280" s="189"/>
    </row>
    <row r="281" spans="1:2" ht="12.75">
      <c r="A281" s="121"/>
      <c r="B281" s="122"/>
    </row>
    <row r="282" spans="1:2" ht="12.75">
      <c r="A282" s="123" t="s">
        <v>230</v>
      </c>
      <c r="B282" s="128" t="s">
        <v>231</v>
      </c>
    </row>
    <row r="283" spans="1:2" ht="12.75">
      <c r="A283" s="123" t="s">
        <v>232</v>
      </c>
      <c r="B283" s="125">
        <v>8115</v>
      </c>
    </row>
    <row r="284" spans="1:2" ht="12.75">
      <c r="A284" s="119" t="str">
        <f>"- Gastos no operacionales"</f>
        <v>- Gastos no operacionales</v>
      </c>
      <c r="B284" s="120" t="str">
        <f>"- 6305 a 6315"</f>
        <v>- 6305 a 6315</v>
      </c>
    </row>
    <row r="285" spans="1:2" ht="12.75">
      <c r="A285" s="64"/>
      <c r="B285" s="64"/>
    </row>
    <row r="286" spans="1:2" ht="12.75">
      <c r="A286" s="190" t="s">
        <v>99</v>
      </c>
      <c r="B286" s="191"/>
    </row>
    <row r="287" spans="1:2" ht="12.75">
      <c r="A287" s="121"/>
      <c r="B287" s="157"/>
    </row>
    <row r="288" spans="1:2" ht="12.75">
      <c r="A288" s="160" t="s">
        <v>252</v>
      </c>
      <c r="B288" s="158"/>
    </row>
    <row r="289" spans="1:2" ht="12.75">
      <c r="A289" s="160" t="s">
        <v>233</v>
      </c>
      <c r="B289" s="158"/>
    </row>
    <row r="290" spans="1:2" ht="12.75">
      <c r="A290" s="119" t="str">
        <f>"+ Otros ingresos netos"</f>
        <v>+ Otros ingresos netos</v>
      </c>
      <c r="B290" s="159"/>
    </row>
    <row r="291" spans="1:2" ht="12.75">
      <c r="A291" s="6"/>
      <c r="B291" s="6"/>
    </row>
    <row r="292" spans="1:2" ht="12.75">
      <c r="A292" s="188" t="s">
        <v>94</v>
      </c>
      <c r="B292" s="189"/>
    </row>
    <row r="293" spans="1:2" ht="12.75">
      <c r="A293" s="122"/>
      <c r="B293" s="122"/>
    </row>
    <row r="294" spans="1:2" ht="12.75">
      <c r="A294" s="149" t="s">
        <v>234</v>
      </c>
      <c r="B294" s="130">
        <v>6605</v>
      </c>
    </row>
    <row r="295" ht="12.75">
      <c r="A295" s="6"/>
    </row>
    <row r="296" spans="1:2" ht="12.75">
      <c r="A296" s="190" t="s">
        <v>85</v>
      </c>
      <c r="B296" s="191"/>
    </row>
    <row r="297" spans="1:2" ht="12.75">
      <c r="A297" s="121"/>
      <c r="B297" s="157"/>
    </row>
    <row r="298" spans="1:2" ht="12.75">
      <c r="A298" s="160" t="s">
        <v>235</v>
      </c>
      <c r="B298" s="158"/>
    </row>
    <row r="299" spans="1:2" ht="12.75">
      <c r="A299" s="119" t="str">
        <f>"- Impuestos"</f>
        <v>- Impuestos</v>
      </c>
      <c r="B299" s="159"/>
    </row>
    <row r="300" ht="12.75">
      <c r="A300" s="6"/>
    </row>
    <row r="301" spans="1:2" ht="12.75">
      <c r="A301" s="188" t="s">
        <v>128</v>
      </c>
      <c r="B301" s="189"/>
    </row>
    <row r="302" spans="1:2" ht="12.75">
      <c r="A302" s="117"/>
      <c r="B302" s="118"/>
    </row>
    <row r="303" spans="1:2" ht="12.75">
      <c r="A303" s="150" t="s">
        <v>128</v>
      </c>
      <c r="B303" s="130">
        <v>9602</v>
      </c>
    </row>
  </sheetData>
  <mergeCells count="40">
    <mergeCell ref="A296:B296"/>
    <mergeCell ref="A301:B301"/>
    <mergeCell ref="A256:B256"/>
    <mergeCell ref="A261:B261"/>
    <mergeCell ref="A267:B267"/>
    <mergeCell ref="A275:B275"/>
    <mergeCell ref="A280:B280"/>
    <mergeCell ref="A286:B286"/>
    <mergeCell ref="A292:B292"/>
    <mergeCell ref="A274:B274"/>
    <mergeCell ref="A231:B231"/>
    <mergeCell ref="A236:B236"/>
    <mergeCell ref="A245:B245"/>
    <mergeCell ref="A252:B252"/>
    <mergeCell ref="A202:B202"/>
    <mergeCell ref="A212:B212"/>
    <mergeCell ref="A217:B217"/>
    <mergeCell ref="A226:B226"/>
    <mergeCell ref="A184:B184"/>
    <mergeCell ref="A188:B188"/>
    <mergeCell ref="A192:B192"/>
    <mergeCell ref="A197:B197"/>
    <mergeCell ref="A166:B166"/>
    <mergeCell ref="A172:B172"/>
    <mergeCell ref="A176:B176"/>
    <mergeCell ref="A180:B180"/>
    <mergeCell ref="A12:B12"/>
    <mergeCell ref="A16:B16"/>
    <mergeCell ref="A47:B47"/>
    <mergeCell ref="A70:B70"/>
    <mergeCell ref="A79:B79"/>
    <mergeCell ref="A84:B84"/>
    <mergeCell ref="A102:B102"/>
    <mergeCell ref="A112:B112"/>
    <mergeCell ref="A146:B146"/>
    <mergeCell ref="A153:B153"/>
    <mergeCell ref="A161:B161"/>
    <mergeCell ref="A123:B123"/>
    <mergeCell ref="A127:B127"/>
    <mergeCell ref="A134:B134"/>
  </mergeCells>
  <hyperlinks>
    <hyperlink ref="B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r:id="rId2"/>
  <headerFooter alignWithMargins="0">
    <oddHeader>&amp;C&amp;A</oddHeader>
    <oddFooter>&amp;CPágina &amp;P de &amp;N</oddFooter>
  </headerFooter>
  <rowBreaks count="6" manualBreakCount="6">
    <brk id="46" max="1" man="1"/>
    <brk id="83" max="1" man="1"/>
    <brk id="133" max="1" man="1"/>
    <brk id="183" max="1" man="1"/>
    <brk id="230" max="1" man="1"/>
    <brk id="27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Mayo 2005</dc:title>
  <dc:subject/>
  <dc:creator>Superintendencia de Bancos e Instituciones Financieras - SBIF</dc:creator>
  <cp:keywords/>
  <dc:description/>
  <cp:lastModifiedBy>Juan Carlos Camus</cp:lastModifiedBy>
  <cp:lastPrinted>2005-06-21T12:36:20Z</cp:lastPrinted>
  <dcterms:created xsi:type="dcterms:W3CDTF">1998-06-19T14:09:35Z</dcterms:created>
  <dcterms:modified xsi:type="dcterms:W3CDTF">2005-06-21T12:36:46Z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1566122260</vt:i4>
  </property>
  <property fmtid="{D5CDD505-2E9C-101B-9397-08002B2CF9AE}" pid="3" name="_EmailSubject">
    <vt:lpwstr>Reporte mensual de Información Financiwra Mayo de 2005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