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16" windowWidth="11745" windowHeight="7725" activeTab="0"/>
  </bookViews>
  <sheets>
    <sheet name="Indice" sheetId="1" r:id="rId1"/>
    <sheet name="Información Sistema" sheetId="2" r:id="rId2"/>
    <sheet name="Activos-Pasivos Bancos" sheetId="3" r:id="rId3"/>
    <sheet name="Estado Resultados Bancos" sheetId="4" r:id="rId4"/>
    <sheet name="Indicadores Bancos" sheetId="5" r:id="rId5"/>
    <sheet name="Definiciones Usadas" sheetId="6" r:id="rId6"/>
  </sheets>
  <definedNames>
    <definedName name="_xlnm.Print_Area" localSheetId="2">'Activos-Pasivos Bancos'!$A$4:$P$52</definedName>
    <definedName name="_xlnm.Print_Area" localSheetId="5">'Definiciones Usadas'!$A$3:$B$303</definedName>
    <definedName name="_xlnm.Print_Area" localSheetId="3">'Estado Resultados Bancos'!$A$3:$Q$51</definedName>
    <definedName name="_xlnm.Print_Area" localSheetId="4">'Indicadores Bancos'!$A$3:$L$54</definedName>
    <definedName name="_xlnm.Print_Area" localSheetId="0">'Indice'!$A$1:$B$23</definedName>
    <definedName name="_xlnm.Print_Area" localSheetId="1">'Información Sistema'!$B$3:$F$75</definedName>
  </definedNames>
  <calcPr fullCalcOnLoad="1"/>
</workbook>
</file>

<file path=xl/sharedStrings.xml><?xml version="1.0" encoding="utf-8"?>
<sst xmlns="http://schemas.openxmlformats.org/spreadsheetml/2006/main" count="455" uniqueCount="264">
  <si>
    <t>Colocaciones</t>
  </si>
  <si>
    <t>Capital y</t>
  </si>
  <si>
    <t>totales</t>
  </si>
  <si>
    <t>reservas</t>
  </si>
  <si>
    <t>final</t>
  </si>
  <si>
    <t>Bice</t>
  </si>
  <si>
    <t>Corpbanca</t>
  </si>
  <si>
    <t>De Chile</t>
  </si>
  <si>
    <t>Del Desarrollo</t>
  </si>
  <si>
    <t>Internacional</t>
  </si>
  <si>
    <t>Santander-Chile</t>
  </si>
  <si>
    <t>Falabella</t>
  </si>
  <si>
    <t>Citibank N.A.</t>
  </si>
  <si>
    <t>Do Brasil S.A.</t>
  </si>
  <si>
    <t>De la Nación Argentina</t>
  </si>
  <si>
    <t>Sistema Financiero</t>
  </si>
  <si>
    <t>Bancos establecidos en Chile</t>
  </si>
  <si>
    <t xml:space="preserve">     </t>
  </si>
  <si>
    <t xml:space="preserve">       </t>
  </si>
  <si>
    <t>.</t>
  </si>
  <si>
    <t>Instituciones</t>
  </si>
  <si>
    <t>Scotiabank Sud Americano</t>
  </si>
  <si>
    <t>Ripley</t>
  </si>
  <si>
    <t>Sucursales de bancos extranjeros</t>
  </si>
  <si>
    <t>HNS Banco</t>
  </si>
  <si>
    <t>Bilbao Vizcaya Argentaria, Chile</t>
  </si>
  <si>
    <t>Monex</t>
  </si>
  <si>
    <t>Memo:</t>
  </si>
  <si>
    <t>ABN  Amro Bank (Chile)</t>
  </si>
  <si>
    <t>HSBC Bank (Chile)</t>
  </si>
  <si>
    <t>Penta</t>
  </si>
  <si>
    <t>Deutsche Bank (Chile)</t>
  </si>
  <si>
    <t>Security</t>
  </si>
  <si>
    <t>JP Morgan Chase Bank, N.A.</t>
  </si>
  <si>
    <t>BankBoston, N.A.</t>
  </si>
  <si>
    <t>Of Tokyo-Mitsubishi Ltd.</t>
  </si>
  <si>
    <t>Consumo</t>
  </si>
  <si>
    <t>vencidas</t>
  </si>
  <si>
    <t xml:space="preserve">Depósitos </t>
  </si>
  <si>
    <t>Comisiones</t>
  </si>
  <si>
    <t>netas</t>
  </si>
  <si>
    <t>castigadas</t>
  </si>
  <si>
    <t>Recuperac. de</t>
  </si>
  <si>
    <t>Otros</t>
  </si>
  <si>
    <t>Resultado</t>
  </si>
  <si>
    <t>operacional</t>
  </si>
  <si>
    <t>bruto</t>
  </si>
  <si>
    <t>Gastos de</t>
  </si>
  <si>
    <t>apoyo</t>
  </si>
  <si>
    <t>Gasto en provisiones</t>
  </si>
  <si>
    <t>Gasto en</t>
  </si>
  <si>
    <t>provisiones</t>
  </si>
  <si>
    <t>neto</t>
  </si>
  <si>
    <t>netos</t>
  </si>
  <si>
    <t>ingresos</t>
  </si>
  <si>
    <t xml:space="preserve">antes de </t>
  </si>
  <si>
    <t>impuestos</t>
  </si>
  <si>
    <t>más difer.</t>
  </si>
  <si>
    <t>de cambio net.</t>
  </si>
  <si>
    <t>Marg. de inter.</t>
  </si>
  <si>
    <t>Notas:</t>
  </si>
  <si>
    <t>Inversiones</t>
  </si>
  <si>
    <t>Activos</t>
  </si>
  <si>
    <t>contingentes</t>
  </si>
  <si>
    <t>BALANCE</t>
  </si>
  <si>
    <t>Monto</t>
  </si>
  <si>
    <t>MM$</t>
  </si>
  <si>
    <t>mes anterior</t>
  </si>
  <si>
    <t>12 meses</t>
  </si>
  <si>
    <t xml:space="preserve">Colocaciones totales  </t>
  </si>
  <si>
    <t>Inversiones totales</t>
  </si>
  <si>
    <t>Activos totales</t>
  </si>
  <si>
    <t>Depósitos totales</t>
  </si>
  <si>
    <t>Capital y reservas</t>
  </si>
  <si>
    <t>Colocaciones contingentes</t>
  </si>
  <si>
    <t>Contratos de leasing totales</t>
  </si>
  <si>
    <t>Colocaciones vencidas</t>
  </si>
  <si>
    <t>Colocaciones totales netas de contingentes</t>
  </si>
  <si>
    <t>ESTADO DE RESULTADOS</t>
  </si>
  <si>
    <t>Monto acumul.</t>
  </si>
  <si>
    <t>Comisiones netas</t>
  </si>
  <si>
    <t>Otros ingresos de operación netos</t>
  </si>
  <si>
    <t>Resultado operacional bruto</t>
  </si>
  <si>
    <t>Gastos de apoyo operacional</t>
  </si>
  <si>
    <t>Resultado operacional neto</t>
  </si>
  <si>
    <t>Resultado final</t>
  </si>
  <si>
    <t>Riesgo</t>
  </si>
  <si>
    <t>Colocaciones totales</t>
  </si>
  <si>
    <t>Provisiones de coloc.</t>
  </si>
  <si>
    <t>Coloc. vencidas</t>
  </si>
  <si>
    <t>Eficiencia</t>
  </si>
  <si>
    <t>(Cifras en millones de pesos)</t>
  </si>
  <si>
    <t>(Cifras en porcentajes)</t>
  </si>
  <si>
    <t>Operaciones de factoraje</t>
  </si>
  <si>
    <t>Impuestos</t>
  </si>
  <si>
    <t>Personas</t>
  </si>
  <si>
    <t>Totales</t>
  </si>
  <si>
    <t>Empresas</t>
  </si>
  <si>
    <t>en socied.</t>
  </si>
  <si>
    <t>Resultado antes de impuestos</t>
  </si>
  <si>
    <t xml:space="preserve">   - Personas</t>
  </si>
  <si>
    <t xml:space="preserve">   - Empresas</t>
  </si>
  <si>
    <t xml:space="preserve"> - Depósitos a plazo</t>
  </si>
  <si>
    <t>Fuente: Superintendencia de Bancos e Instituciones Financieras (Chile)</t>
  </si>
  <si>
    <t>Otros ingresos netos</t>
  </si>
  <si>
    <t>Plazo</t>
  </si>
  <si>
    <t>Vivienda</t>
  </si>
  <si>
    <t>París</t>
  </si>
  <si>
    <t xml:space="preserve">París </t>
  </si>
  <si>
    <t>Gastos de apoyo op.</t>
  </si>
  <si>
    <t>Antes de imptos.</t>
  </si>
  <si>
    <t>Después de imptos.</t>
  </si>
  <si>
    <t xml:space="preserve"> Activos totales</t>
  </si>
  <si>
    <t>Result. operc. bruto</t>
  </si>
  <si>
    <t>Definiciones</t>
  </si>
  <si>
    <t>Obligaciones con el exterior</t>
  </si>
  <si>
    <t>Instrumentos de deuda emitidos</t>
  </si>
  <si>
    <t xml:space="preserve"> - Letras de crédito</t>
  </si>
  <si>
    <t xml:space="preserve"> - Bonos ordinarios</t>
  </si>
  <si>
    <t xml:space="preserve"> - Bonos subordinados</t>
  </si>
  <si>
    <t>Instrumentos</t>
  </si>
  <si>
    <t>de deuda</t>
  </si>
  <si>
    <t>emitidos</t>
  </si>
  <si>
    <t xml:space="preserve">        - Comerciales</t>
  </si>
  <si>
    <t xml:space="preserve">        - Comercio exterior</t>
  </si>
  <si>
    <t xml:space="preserve">        - Interbancarias</t>
  </si>
  <si>
    <t xml:space="preserve">        - Consumo</t>
  </si>
  <si>
    <t xml:space="preserve">        - Vivienda</t>
  </si>
  <si>
    <t>Castigos del ejercicio</t>
  </si>
  <si>
    <t>Castigos</t>
  </si>
  <si>
    <t>del</t>
  </si>
  <si>
    <t>ejercicio</t>
  </si>
  <si>
    <t xml:space="preserve"> - Depósitos vista netos de canje</t>
  </si>
  <si>
    <t>Variación real respecto a: (%)</t>
  </si>
  <si>
    <t>mes anterior (1)</t>
  </si>
  <si>
    <t>12 meses (2)</t>
  </si>
  <si>
    <t>(2) Corresponde a la variación real entre los resultados acumulados a la fecha y los obtenidos a igual fecha del año anterior.</t>
  </si>
  <si>
    <t>Variación real respecto a:(%)</t>
  </si>
  <si>
    <t>Vista netos</t>
  </si>
  <si>
    <t>de canje</t>
  </si>
  <si>
    <t>(1) A partir de enero de 2004 esta institución es propietaria en un 99% de Banco Conosur. Por lo tanto, su situación financiera se presenta consolidada con Banco Conosur.</t>
  </si>
  <si>
    <t>De Crédito e Inversiones   (2)</t>
  </si>
  <si>
    <t>Conosur                            (2)</t>
  </si>
  <si>
    <t>Del Estado de Chile</t>
  </si>
  <si>
    <t>De Crédito e Inversiones    (1)</t>
  </si>
  <si>
    <t>(3) El deflactor utilizado corresponde a la unidad de fomento (UF).</t>
  </si>
  <si>
    <t>(1) Corresponde a la variación real entre los resultados del mes, respecto de los registrados durante el mes anterior.</t>
  </si>
  <si>
    <t>Conosur                             (2)</t>
  </si>
  <si>
    <t>De Crédito e Inversiones    (2)</t>
  </si>
  <si>
    <t>(3) las variaciones son reales y usan como deflactor la unidad de fomento (UF).</t>
  </si>
  <si>
    <t>Actividad (variación en doce meses)  (3)</t>
  </si>
  <si>
    <t>Rentabilidad s/Capital y reservas  (4)</t>
  </si>
  <si>
    <t>(4) Los porcentajes de rentabilidad se determinan anualizando las cifras de resultados (dividiendo estos últimos por el número de meses transcurridos y luego multiplicándolos por doce).</t>
  </si>
  <si>
    <t>(5)  Esta institución está afecta a un régimen impositivo distinto que el del resto de la banca.</t>
  </si>
  <si>
    <t>Del Estado de Chile    (5)</t>
  </si>
  <si>
    <t>Para Imprimir: Control+P</t>
  </si>
  <si>
    <t>Para Guardar: F12</t>
  </si>
  <si>
    <t>PRINCIPALES ACTIVOS, PASIVOS Y RESULTADOS</t>
  </si>
  <si>
    <t>DEL SISTEMA FINANCIERO CHILENO</t>
  </si>
  <si>
    <t>Bancos</t>
  </si>
  <si>
    <t>Principales Activos, Pasivos y Resultados del Sistema Financiero</t>
  </si>
  <si>
    <t>Indicadores por Instituciones</t>
  </si>
  <si>
    <t>Volver</t>
  </si>
  <si>
    <t>Definiciones usadas en este documento</t>
  </si>
  <si>
    <t>Principales Activos y Pasivos por Instituciones</t>
  </si>
  <si>
    <t>Estado de Resultado por Instituciones</t>
  </si>
  <si>
    <t>Concepto</t>
  </si>
  <si>
    <t>N° de Partida o de cuenta</t>
  </si>
  <si>
    <t xml:space="preserve">   Ptmos. comerciales (hasta 1 año)</t>
  </si>
  <si>
    <t xml:space="preserve"> + 1350 001</t>
  </si>
  <si>
    <t xml:space="preserve"> + 1350 004</t>
  </si>
  <si>
    <t xml:space="preserve"> + 1350 007</t>
  </si>
  <si>
    <t xml:space="preserve"> + 1421 001</t>
  </si>
  <si>
    <t xml:space="preserve"> + 1350 999</t>
  </si>
  <si>
    <t>+ Dividendos hipot. reprogramados</t>
  </si>
  <si>
    <t>Colocaciones comerciales</t>
  </si>
  <si>
    <t>Colocaciones de comercio exterior</t>
  </si>
  <si>
    <t xml:space="preserve">   Créditos importación (hasta 1 año)</t>
  </si>
  <si>
    <t>Colocaciones interbancarias</t>
  </si>
  <si>
    <t xml:space="preserve">   Ptmos. a instituciones financieras (hasta 1 año)</t>
  </si>
  <si>
    <t>Colocaciones a Personas</t>
  </si>
  <si>
    <t>Ptmos. de consumo (hasta 1 año)</t>
  </si>
  <si>
    <t xml:space="preserve"> + 1350 002</t>
  </si>
  <si>
    <t xml:space="preserve"> + 1350 005</t>
  </si>
  <si>
    <t xml:space="preserve"> + 1350 008</t>
  </si>
  <si>
    <t xml:space="preserve"> + 1421 002</t>
  </si>
  <si>
    <t>+ Ptmos. hipot. endosables para vivienda</t>
  </si>
  <si>
    <t xml:space="preserve"> + 1350 003</t>
  </si>
  <si>
    <t xml:space="preserve"> + 1350 006</t>
  </si>
  <si>
    <t xml:space="preserve"> + 1350 009</t>
  </si>
  <si>
    <t xml:space="preserve"> + 1421 003</t>
  </si>
  <si>
    <t xml:space="preserve">   Créditos hipotecarios para vivienda</t>
  </si>
  <si>
    <t>1705 a 1775</t>
  </si>
  <si>
    <t xml:space="preserve">   Total activo contable</t>
  </si>
  <si>
    <t>1005 a 2525</t>
  </si>
  <si>
    <t xml:space="preserve">   Acreedores en cuentas corrientes</t>
  </si>
  <si>
    <t>Depósitos a plazo</t>
  </si>
  <si>
    <t>Ptmos. y otras obligaciones con el exterior</t>
  </si>
  <si>
    <t>3505 a 3570</t>
  </si>
  <si>
    <t>3305 a 3315</t>
  </si>
  <si>
    <t xml:space="preserve"> + Bonos subordinados</t>
  </si>
  <si>
    <t>Letras de crédito</t>
  </si>
  <si>
    <t>Bonos ordinarios</t>
  </si>
  <si>
    <t>Bonos subordinados</t>
  </si>
  <si>
    <t>4305 a 4405</t>
  </si>
  <si>
    <t>1401 a 1421</t>
  </si>
  <si>
    <t xml:space="preserve">   Contratos de leasing</t>
  </si>
  <si>
    <t xml:space="preserve">   Operaciones de factoraje</t>
  </si>
  <si>
    <t>Margen de intereses más diferencias de cambio netas</t>
  </si>
  <si>
    <t xml:space="preserve">   Intereses percibidos y devengados</t>
  </si>
  <si>
    <t>7105 a 7200</t>
  </si>
  <si>
    <t>7305 a 7400</t>
  </si>
  <si>
    <t xml:space="preserve"> - 5105 a 5200</t>
  </si>
  <si>
    <t>7705 a 7710</t>
  </si>
  <si>
    <t>7505 a 7530</t>
  </si>
  <si>
    <t>Recuperación de colocaciones castigadas</t>
  </si>
  <si>
    <t>Recuperación de colocaciones e inversiones castigadas</t>
  </si>
  <si>
    <t xml:space="preserve"> + 6110 023 a 6110 026</t>
  </si>
  <si>
    <t>Otros ingresos  de operación netos</t>
  </si>
  <si>
    <t xml:space="preserve">  Utilidades por diferencias de precio</t>
  </si>
  <si>
    <t>7605 a 7650</t>
  </si>
  <si>
    <t xml:space="preserve">   Margen de intereses más diferencias de cambio</t>
  </si>
  <si>
    <t>6205 a 6290</t>
  </si>
  <si>
    <t xml:space="preserve">   Provisiones y castigos por activos</t>
  </si>
  <si>
    <t>6110 a 6140</t>
  </si>
  <si>
    <t xml:space="preserve"> - Recuperación de colocaciones castigadas</t>
  </si>
  <si>
    <t xml:space="preserve"> - 6110 023 a 6110 026</t>
  </si>
  <si>
    <t xml:space="preserve">  Resultado operacional bruto</t>
  </si>
  <si>
    <t>Utilidades de inversiones en sociedades y de sucurs. en el exterior</t>
  </si>
  <si>
    <t xml:space="preserve">  Ingresos por inversión en sociedades</t>
  </si>
  <si>
    <t>sucursales en el exterior</t>
  </si>
  <si>
    <t xml:space="preserve">   Resultado operacional neto</t>
  </si>
  <si>
    <t>Ingresos no operacionales</t>
  </si>
  <si>
    <t>8305 a 8315</t>
  </si>
  <si>
    <t xml:space="preserve"> + recuperación de gastos</t>
  </si>
  <si>
    <t xml:space="preserve">   y de sucursales en el exterior</t>
  </si>
  <si>
    <t>Impuesto a la renta</t>
  </si>
  <si>
    <t xml:space="preserve">   Resultado antes de impuestos</t>
  </si>
  <si>
    <t>Result. oper. neto después util. de invers. en soc. y suc. ext.</t>
  </si>
  <si>
    <t>Util. de invers.</t>
  </si>
  <si>
    <t>Res. op. neto</t>
  </si>
  <si>
    <t>colocaciones</t>
  </si>
  <si>
    <t>desp. ut. inv. en</t>
  </si>
  <si>
    <t>y suc. ext.</t>
  </si>
  <si>
    <t>soc. y suc. exter.</t>
  </si>
  <si>
    <t>(2) Corresponde a la situación financiera individual de los bancos Conosur y De Crédito e Inversiones.  Este último incluye el capital y reservas, el excedente antes de impuestos y la utilidad final de Banco Conosur.</t>
  </si>
  <si>
    <t>ingresos de</t>
  </si>
  <si>
    <t>operación netos</t>
  </si>
  <si>
    <t>Colocaciones a Empresas</t>
  </si>
  <si>
    <t>Colocaciones de consumo</t>
  </si>
  <si>
    <t>Colocaciones de vivienda</t>
  </si>
  <si>
    <t>Depósitos a la vista netos de canje</t>
  </si>
  <si>
    <t>Utilidades de inversiones en sociedades y de sucursales en el exterior</t>
  </si>
  <si>
    <t>Resultado operacional neto después de util. de inversión en sociedades y</t>
  </si>
  <si>
    <t xml:space="preserve">   Resultado operacional neto después de util. de invers. en sociedades</t>
  </si>
  <si>
    <t>1110 a 1660</t>
  </si>
  <si>
    <t>1110 a 1421</t>
  </si>
  <si>
    <t>dic'2004</t>
  </si>
  <si>
    <t>---</t>
  </si>
  <si>
    <t>Reporte de Información Financiera Mensual - Abril de 2005</t>
  </si>
  <si>
    <t xml:space="preserve"> AL MES DE ABRIL DE 2005 </t>
  </si>
  <si>
    <t>PRINCIPALES ACTIVOS Y PASIVOS POR INSTITUCIONES AL MES DE ABRIL DE 2005</t>
  </si>
  <si>
    <t>ESTRUCTURA DEL ESTADO DE RESULTADOS POR INSTITUCIONES AL MES DE ABRIL DE 2005</t>
  </si>
  <si>
    <t>INDICADORES POR INSTITUCIONES AL MES DE ABRIL DE 2005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</si>
</sst>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_);\(#,##0&quot;Pts&quot;\)"/>
    <numFmt numFmtId="173" formatCode="#,##0&quot;Pts&quot;_);[Red]\(#,##0&quot;Pts&quot;\)"/>
    <numFmt numFmtId="174" formatCode="#,##0.00&quot;Pts&quot;_);\(#,##0.00&quot;Pts&quot;\)"/>
    <numFmt numFmtId="175" formatCode="#,##0.00&quot;Pts&quot;_);[Red]\(#,##0.00&quot;Pts&quot;\)"/>
    <numFmt numFmtId="176" formatCode="_ * #,##0_)&quot;Pts&quot;_ ;_ * \(#,##0\)&quot;Pts&quot;_ ;_ * &quot;-&quot;_)&quot;Pts&quot;_ ;_ @_ "/>
    <numFmt numFmtId="177" formatCode="_ * #,##0_)_P_t_s_ ;_ * \(#,##0\)_P_t_s_ ;_ * &quot;-&quot;_)_P_t_s_ ;_ @_ "/>
    <numFmt numFmtId="178" formatCode="_ * #,##0.00_)&quot;Pts&quot;_ ;_ * \(#,##0.00\)&quot;Pts&quot;_ ;_ * &quot;-&quot;??_)&quot;Pts&quot;_ ;_ @_ "/>
    <numFmt numFmtId="179" formatCode="_ * #,##0.00_)_P_t_s_ ;_ * \(#,##0.00\)_P_t_s_ ;_ * &quot;-&quot;??_)_P_t_s_ ;_ @_ "/>
    <numFmt numFmtId="180" formatCode="0.0%"/>
    <numFmt numFmtId="181" formatCode="0.000%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#,##0.0"/>
    <numFmt numFmtId="188" formatCode="0.0"/>
    <numFmt numFmtId="189" formatCode="\+\ General"/>
    <numFmt numFmtId="190" formatCode="\-\ General"/>
  </numFmts>
  <fonts count="21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4" fontId="9" fillId="2" borderId="0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2" fontId="11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2" fontId="10" fillId="2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0" fontId="13" fillId="2" borderId="0" xfId="0" applyNumberFormat="1" applyFont="1" applyFill="1" applyAlignment="1">
      <alignment/>
    </xf>
    <xf numFmtId="3" fontId="8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top"/>
    </xf>
    <xf numFmtId="10" fontId="8" fillId="2" borderId="8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2" fontId="11" fillId="2" borderId="1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0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8" fillId="2" borderId="19" xfId="0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 quotePrefix="1">
      <alignment horizontal="center"/>
    </xf>
    <xf numFmtId="4" fontId="10" fillId="2" borderId="16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0" fillId="2" borderId="16" xfId="0" applyNumberFormat="1" applyFont="1" applyFill="1" applyBorder="1" applyAlignment="1" quotePrefix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10" fillId="2" borderId="19" xfId="0" applyNumberFormat="1" applyFont="1" applyFill="1" applyBorder="1" applyAlignment="1">
      <alignment horizontal="center"/>
    </xf>
    <xf numFmtId="4" fontId="10" fillId="2" borderId="19" xfId="0" applyNumberFormat="1" applyFont="1" applyFill="1" applyBorder="1" applyAlignment="1" quotePrefix="1">
      <alignment horizontal="center"/>
    </xf>
    <xf numFmtId="180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2" borderId="0" xfId="15" applyFont="1" applyFill="1" applyAlignment="1">
      <alignment/>
    </xf>
    <xf numFmtId="0" fontId="18" fillId="2" borderId="0" xfId="15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2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4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189" fontId="10" fillId="2" borderId="16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/>
    </xf>
    <xf numFmtId="189" fontId="11" fillId="2" borderId="0" xfId="0" applyNumberFormat="1" applyFont="1" applyFill="1" applyBorder="1" applyAlignment="1">
      <alignment horizontal="right"/>
    </xf>
    <xf numFmtId="190" fontId="10" fillId="2" borderId="16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/>
    </xf>
    <xf numFmtId="190" fontId="10" fillId="2" borderId="14" xfId="0" applyNumberFormat="1" applyFont="1" applyFill="1" applyBorder="1" applyAlignment="1">
      <alignment/>
    </xf>
    <xf numFmtId="189" fontId="10" fillId="2" borderId="16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189" fontId="10" fillId="2" borderId="12" xfId="0" applyNumberFormat="1" applyFont="1" applyFill="1" applyBorder="1" applyAlignment="1">
      <alignment/>
    </xf>
    <xf numFmtId="190" fontId="10" fillId="2" borderId="16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16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0" fontId="20" fillId="2" borderId="23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190" fontId="20" fillId="2" borderId="14" xfId="0" applyNumberFormat="1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/>
    </xf>
    <xf numFmtId="0" fontId="10" fillId="2" borderId="16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 quotePrefix="1">
      <alignment horizontal="center"/>
    </xf>
    <xf numFmtId="2" fontId="10" fillId="2" borderId="7" xfId="0" applyNumberFormat="1" applyFont="1" applyFill="1" applyBorder="1" applyAlignment="1" quotePrefix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2" fontId="10" fillId="2" borderId="10" xfId="0" applyNumberFormat="1" applyFont="1" applyFill="1" applyBorder="1" applyAlignment="1" quotePrefix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1</xdr:col>
      <xdr:colOff>552450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1</xdr:col>
      <xdr:colOff>1181100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133350</xdr:rowOff>
    </xdr:from>
    <xdr:to>
      <xdr:col>0</xdr:col>
      <xdr:colOff>1314450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0</xdr:col>
      <xdr:colOff>1590675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66675</xdr:rowOff>
    </xdr:from>
    <xdr:to>
      <xdr:col>0</xdr:col>
      <xdr:colOff>1419225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0</xdr:rowOff>
    </xdr:from>
    <xdr:to>
      <xdr:col>0</xdr:col>
      <xdr:colOff>1438275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1"/>
  <sheetViews>
    <sheetView tabSelected="1" workbookViewId="0" topLeftCell="A2">
      <selection activeCell="A6" sqref="A6"/>
    </sheetView>
  </sheetViews>
  <sheetFormatPr defaultColWidth="11.00390625" defaultRowHeight="12.75"/>
  <cols>
    <col min="1" max="1" width="11.50390625" style="3" customWidth="1"/>
    <col min="2" max="2" width="77.875" style="3" customWidth="1"/>
    <col min="3" max="16384" width="12.00390625" style="3" customWidth="1"/>
  </cols>
  <sheetData>
    <row r="2" ht="12.75"/>
    <row r="3" ht="12.75"/>
    <row r="4" ht="12.75"/>
    <row r="5" ht="12.75"/>
    <row r="6" ht="15.75">
      <c r="B6" s="111" t="s">
        <v>259</v>
      </c>
    </row>
    <row r="9" ht="12.75">
      <c r="B9" s="112" t="s">
        <v>15</v>
      </c>
    </row>
    <row r="11" ht="12.75">
      <c r="B11" s="113" t="s">
        <v>160</v>
      </c>
    </row>
    <row r="13" ht="12.75">
      <c r="B13" s="112" t="s">
        <v>159</v>
      </c>
    </row>
    <row r="15" ht="12.75">
      <c r="B15" s="113" t="s">
        <v>164</v>
      </c>
    </row>
    <row r="17" ht="12.75">
      <c r="B17" s="113" t="s">
        <v>165</v>
      </c>
    </row>
    <row r="19" ht="12.75">
      <c r="B19" s="113" t="s">
        <v>161</v>
      </c>
    </row>
    <row r="21" ht="12.75">
      <c r="B21" s="113" t="s">
        <v>163</v>
      </c>
    </row>
  </sheetData>
  <hyperlinks>
    <hyperlink ref="B11" location="'Información Sistema'!A1" display="Principales Activos, Pasivos y Resultados del Sistema Financiero"/>
    <hyperlink ref="B15" location="'Activos-Pasivos Bancos'!A1" display="Principales activos y pasivos por instituciones"/>
    <hyperlink ref="B17" location="'Estado Resultados Bancos'!A1" display="Estado de resultado por Instituciones"/>
    <hyperlink ref="B19" location="'Indicadores Bancos'!A1" display="Indicadores por Instituciones"/>
    <hyperlink ref="B21" location="'Definiciones Usadas'!A1" display="Definiciones usadas en este documento"/>
  </hyperlinks>
  <printOptions/>
  <pageMargins left="0.75" right="0.75" top="1" bottom="1" header="0" footer="0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A1" sqref="A1"/>
    </sheetView>
  </sheetViews>
  <sheetFormatPr defaultColWidth="11.00390625" defaultRowHeight="12.75"/>
  <cols>
    <col min="1" max="1" width="12.00390625" style="3" customWidth="1"/>
    <col min="2" max="2" width="68.875" style="3" customWidth="1"/>
    <col min="3" max="3" width="16.875" style="3" customWidth="1"/>
    <col min="4" max="4" width="18.00390625" style="3" bestFit="1" customWidth="1"/>
    <col min="5" max="6" width="16.875" style="3" customWidth="1"/>
    <col min="7" max="16384" width="12.00390625" style="3" customWidth="1"/>
  </cols>
  <sheetData>
    <row r="1" spans="1:6" ht="12.75">
      <c r="A1" s="110" t="s">
        <v>155</v>
      </c>
      <c r="F1" s="114" t="s">
        <v>162</v>
      </c>
    </row>
    <row r="2" ht="12.75">
      <c r="A2" s="110" t="s">
        <v>156</v>
      </c>
    </row>
    <row r="3" spans="1:6" ht="15.75">
      <c r="A3" s="110"/>
      <c r="B3" s="177" t="s">
        <v>157</v>
      </c>
      <c r="C3" s="177"/>
      <c r="D3" s="177"/>
      <c r="E3" s="177"/>
      <c r="F3" s="177"/>
    </row>
    <row r="4" spans="2:6" ht="15.75">
      <c r="B4" s="177" t="s">
        <v>158</v>
      </c>
      <c r="C4" s="177"/>
      <c r="D4" s="177"/>
      <c r="E4" s="177"/>
      <c r="F4" s="177"/>
    </row>
    <row r="5" spans="2:6" ht="15.75">
      <c r="B5" s="1" t="s">
        <v>260</v>
      </c>
      <c r="C5" s="4"/>
      <c r="D5" s="2"/>
      <c r="E5" s="2"/>
      <c r="F5" s="5"/>
    </row>
    <row r="6" spans="2:6" ht="12" customHeight="1">
      <c r="B6" s="1"/>
      <c r="C6" s="4"/>
      <c r="D6" s="2"/>
      <c r="E6" s="2"/>
      <c r="F6" s="5"/>
    </row>
    <row r="7" spans="2:6" ht="12.75">
      <c r="B7" s="180" t="s">
        <v>64</v>
      </c>
      <c r="C7" s="181"/>
      <c r="D7" s="181"/>
      <c r="E7" s="181"/>
      <c r="F7" s="182"/>
    </row>
    <row r="8" spans="2:6" ht="9" customHeight="1">
      <c r="B8" s="6"/>
      <c r="C8" s="6"/>
      <c r="D8" s="6"/>
      <c r="E8" s="6"/>
      <c r="F8" s="6"/>
    </row>
    <row r="9" spans="2:6" ht="12.75">
      <c r="B9" s="7"/>
      <c r="C9" s="8" t="s">
        <v>65</v>
      </c>
      <c r="D9" s="9" t="s">
        <v>137</v>
      </c>
      <c r="E9" s="10"/>
      <c r="F9" s="11"/>
    </row>
    <row r="10" spans="2:6" ht="12.75">
      <c r="B10" s="12"/>
      <c r="C10" s="13" t="s">
        <v>66</v>
      </c>
      <c r="D10" s="14" t="s">
        <v>67</v>
      </c>
      <c r="E10" s="14" t="s">
        <v>257</v>
      </c>
      <c r="F10" s="14" t="s">
        <v>68</v>
      </c>
    </row>
    <row r="11" spans="2:6" ht="9" customHeight="1">
      <c r="B11" s="15"/>
      <c r="C11" s="16"/>
      <c r="D11" s="17"/>
      <c r="E11" s="17"/>
      <c r="F11" s="17"/>
    </row>
    <row r="12" spans="2:6" ht="12.75">
      <c r="B12" s="18" t="s">
        <v>69</v>
      </c>
      <c r="C12" s="19">
        <v>40221403.1214</v>
      </c>
      <c r="D12" s="20">
        <v>1.78167162236178</v>
      </c>
      <c r="E12" s="20">
        <v>6.62791493673654</v>
      </c>
      <c r="F12" s="20">
        <v>13.089740638322</v>
      </c>
    </row>
    <row r="13" spans="2:6" ht="12.75">
      <c r="B13" s="21" t="s">
        <v>101</v>
      </c>
      <c r="C13" s="22">
        <v>27600038.5964</v>
      </c>
      <c r="D13" s="23">
        <v>2.30964309332152</v>
      </c>
      <c r="E13" s="23">
        <v>7.31078481676497</v>
      </c>
      <c r="F13" s="23">
        <v>10.4378020857519</v>
      </c>
    </row>
    <row r="14" spans="2:6" ht="12.75">
      <c r="B14" s="24" t="s">
        <v>123</v>
      </c>
      <c r="C14" s="25">
        <v>23022268.4587</v>
      </c>
      <c r="D14" s="26">
        <v>1.33118707800485</v>
      </c>
      <c r="E14" s="26">
        <v>5.31716384735617</v>
      </c>
      <c r="F14" s="26">
        <v>9.77708022022232</v>
      </c>
    </row>
    <row r="15" spans="2:6" ht="12.75">
      <c r="B15" s="24" t="s">
        <v>124</v>
      </c>
      <c r="C15" s="25">
        <v>3872208.5927</v>
      </c>
      <c r="D15" s="26">
        <v>3.70272425943424</v>
      </c>
      <c r="E15" s="26">
        <v>14.6443969545579</v>
      </c>
      <c r="F15" s="26">
        <v>9.2272897219557</v>
      </c>
    </row>
    <row r="16" spans="2:6" ht="12.75">
      <c r="B16" s="24" t="s">
        <v>125</v>
      </c>
      <c r="C16" s="25">
        <v>705561.545</v>
      </c>
      <c r="D16" s="26">
        <v>34.8573126040626</v>
      </c>
      <c r="E16" s="26">
        <v>46.3203965714114</v>
      </c>
      <c r="F16" s="26">
        <v>48.680221322047</v>
      </c>
    </row>
    <row r="17" spans="2:6" ht="12.75">
      <c r="B17" s="21" t="s">
        <v>100</v>
      </c>
      <c r="C17" s="22">
        <v>12621364.5242</v>
      </c>
      <c r="D17" s="23">
        <v>0.645893947128046</v>
      </c>
      <c r="E17" s="23">
        <v>5.16450118262567</v>
      </c>
      <c r="F17" s="23">
        <v>19.3572940821206</v>
      </c>
    </row>
    <row r="18" spans="2:6" ht="12.75">
      <c r="B18" s="24" t="s">
        <v>126</v>
      </c>
      <c r="C18" s="25">
        <v>4698836.9612</v>
      </c>
      <c r="D18" s="26">
        <v>1.23380261286757</v>
      </c>
      <c r="E18" s="26">
        <v>7.64499336999347</v>
      </c>
      <c r="F18" s="26">
        <v>18.864526164947</v>
      </c>
    </row>
    <row r="19" spans="2:6" ht="12.75">
      <c r="B19" s="24" t="s">
        <v>127</v>
      </c>
      <c r="C19" s="25">
        <v>7922527.563</v>
      </c>
      <c r="D19" s="26">
        <v>0.300421285515458</v>
      </c>
      <c r="E19" s="26">
        <v>3.74660465815754</v>
      </c>
      <c r="F19" s="26">
        <v>19.6514888096545</v>
      </c>
    </row>
    <row r="20" spans="2:6" ht="9" customHeight="1">
      <c r="B20" s="24"/>
      <c r="C20" s="25"/>
      <c r="D20" s="26"/>
      <c r="E20" s="26"/>
      <c r="F20" s="26"/>
    </row>
    <row r="21" spans="2:6" ht="12.75">
      <c r="B21" s="21" t="s">
        <v>70</v>
      </c>
      <c r="C21" s="22">
        <v>8971218.4412</v>
      </c>
      <c r="D21" s="23">
        <v>-1.09903032391604</v>
      </c>
      <c r="E21" s="23">
        <v>-3.41199860655914</v>
      </c>
      <c r="F21" s="23">
        <v>-6.07456970634903</v>
      </c>
    </row>
    <row r="22" spans="2:6" ht="12.75">
      <c r="B22" s="24"/>
      <c r="C22" s="25"/>
      <c r="D22" s="26"/>
      <c r="E22" s="26"/>
      <c r="F22" s="26"/>
    </row>
    <row r="23" spans="2:6" ht="12.75">
      <c r="B23" s="27" t="s">
        <v>71</v>
      </c>
      <c r="C23" s="28">
        <v>57884749.096</v>
      </c>
      <c r="D23" s="29">
        <v>3.01880170822315</v>
      </c>
      <c r="E23" s="29">
        <v>8.41777200720487</v>
      </c>
      <c r="F23" s="29">
        <v>12.1385789657009</v>
      </c>
    </row>
    <row r="24" spans="2:6" ht="9" customHeight="1">
      <c r="B24" s="30"/>
      <c r="C24" s="31"/>
      <c r="D24" s="32"/>
      <c r="E24" s="32"/>
      <c r="F24" s="32"/>
    </row>
    <row r="25" spans="2:6" ht="12.75">
      <c r="B25" s="18" t="s">
        <v>72</v>
      </c>
      <c r="C25" s="19">
        <v>32504334.9508</v>
      </c>
      <c r="D25" s="20">
        <v>2.61104176847594</v>
      </c>
      <c r="E25" s="20">
        <v>15.3650420189276</v>
      </c>
      <c r="F25" s="20">
        <v>16.4404285910044</v>
      </c>
    </row>
    <row r="26" spans="2:6" ht="12.75">
      <c r="B26" s="24" t="s">
        <v>132</v>
      </c>
      <c r="C26" s="25">
        <v>7844445.6559</v>
      </c>
      <c r="D26" s="26">
        <v>6.34552116978976</v>
      </c>
      <c r="E26" s="26">
        <v>6.76778128875237</v>
      </c>
      <c r="F26" s="26">
        <v>16.3342023681852</v>
      </c>
    </row>
    <row r="27" spans="2:6" ht="12.75">
      <c r="B27" s="24" t="s">
        <v>102</v>
      </c>
      <c r="C27" s="25">
        <v>24659889.2949</v>
      </c>
      <c r="D27" s="26">
        <v>1.4774632623963</v>
      </c>
      <c r="E27" s="26">
        <v>8.59726073017524</v>
      </c>
      <c r="F27" s="26">
        <v>16.4742604155766</v>
      </c>
    </row>
    <row r="28" spans="2:6" ht="9" customHeight="1">
      <c r="B28" s="24"/>
      <c r="C28" s="25"/>
      <c r="D28" s="26"/>
      <c r="E28" s="26"/>
      <c r="F28" s="26"/>
    </row>
    <row r="29" spans="2:6" ht="12.75">
      <c r="B29" s="21" t="s">
        <v>115</v>
      </c>
      <c r="C29" s="22">
        <v>3614801.172</v>
      </c>
      <c r="D29" s="23">
        <v>5.29416022876103</v>
      </c>
      <c r="E29" s="23">
        <v>13.597733076974</v>
      </c>
      <c r="F29" s="23">
        <v>6.14323712647673</v>
      </c>
    </row>
    <row r="30" spans="2:6" ht="7.5" customHeight="1">
      <c r="B30" s="21"/>
      <c r="C30" s="22"/>
      <c r="D30" s="23"/>
      <c r="E30" s="23"/>
      <c r="F30" s="23"/>
    </row>
    <row r="31" spans="2:6" ht="12.75">
      <c r="B31" s="21" t="s">
        <v>116</v>
      </c>
      <c r="C31" s="22">
        <v>7395974.2231</v>
      </c>
      <c r="D31" s="23">
        <v>-2.90718604912086</v>
      </c>
      <c r="E31" s="23">
        <v>-6.72843348046057</v>
      </c>
      <c r="F31" s="23">
        <v>-4.28751049476743</v>
      </c>
    </row>
    <row r="32" spans="2:6" ht="12.75">
      <c r="B32" s="24" t="s">
        <v>117</v>
      </c>
      <c r="C32" s="25">
        <v>5121627.3948</v>
      </c>
      <c r="D32" s="26">
        <v>-5.43949024394462</v>
      </c>
      <c r="E32" s="26">
        <v>-11.7366725086161</v>
      </c>
      <c r="F32" s="26">
        <v>-17.1651130199095</v>
      </c>
    </row>
    <row r="33" spans="2:6" ht="15" customHeight="1">
      <c r="B33" s="24" t="s">
        <v>118</v>
      </c>
      <c r="C33" s="25">
        <v>785151.5018</v>
      </c>
      <c r="D33" s="26">
        <v>1.65084876527487</v>
      </c>
      <c r="E33" s="26">
        <v>0.796407021480142</v>
      </c>
      <c r="F33" s="26">
        <v>127.583022819935</v>
      </c>
    </row>
    <row r="34" spans="2:6" ht="12.75">
      <c r="B34" s="24" t="s">
        <v>119</v>
      </c>
      <c r="C34" s="25">
        <v>1489195.3265</v>
      </c>
      <c r="D34" s="26">
        <v>4.2282198648907</v>
      </c>
      <c r="E34" s="26">
        <v>10.4834166684504</v>
      </c>
      <c r="F34" s="26">
        <v>24.1667215133676</v>
      </c>
    </row>
    <row r="35" spans="2:6" ht="9" customHeight="1">
      <c r="B35" s="24"/>
      <c r="C35" s="25"/>
      <c r="D35" s="26"/>
      <c r="E35" s="26"/>
      <c r="F35" s="26"/>
    </row>
    <row r="36" spans="2:6" ht="12.75">
      <c r="B36" s="27" t="s">
        <v>73</v>
      </c>
      <c r="C36" s="28">
        <v>4148410.8094</v>
      </c>
      <c r="D36" s="29">
        <v>-5.69328590973588</v>
      </c>
      <c r="E36" s="29">
        <v>4.77524342367856</v>
      </c>
      <c r="F36" s="29">
        <v>5.99123335349709</v>
      </c>
    </row>
    <row r="37" spans="2:6" ht="9" customHeight="1">
      <c r="B37" s="33"/>
      <c r="C37" s="34"/>
      <c r="D37" s="35"/>
      <c r="E37" s="35"/>
      <c r="F37" s="35"/>
    </row>
    <row r="38" spans="2:6" ht="12.75">
      <c r="B38" s="33" t="s">
        <v>27</v>
      </c>
      <c r="C38" s="34"/>
      <c r="D38" s="35"/>
      <c r="E38" s="35"/>
      <c r="F38" s="35"/>
    </row>
    <row r="39" spans="2:6" ht="12.75">
      <c r="B39" s="36" t="s">
        <v>76</v>
      </c>
      <c r="C39" s="37">
        <v>473488.0343</v>
      </c>
      <c r="D39" s="38">
        <v>-0.152252630830949</v>
      </c>
      <c r="E39" s="38">
        <v>4.38511495907557</v>
      </c>
      <c r="F39" s="38">
        <v>-14.1312005475779</v>
      </c>
    </row>
    <row r="40" spans="2:6" ht="12.75">
      <c r="B40" s="24" t="s">
        <v>75</v>
      </c>
      <c r="C40" s="25">
        <v>1750541.784</v>
      </c>
      <c r="D40" s="26">
        <v>2.51660811994413</v>
      </c>
      <c r="E40" s="26">
        <v>7.75570997466881</v>
      </c>
      <c r="F40" s="26">
        <v>22.0504131106605</v>
      </c>
    </row>
    <row r="41" spans="2:6" ht="12.75">
      <c r="B41" s="24" t="s">
        <v>93</v>
      </c>
      <c r="C41" s="25">
        <v>346214.4157</v>
      </c>
      <c r="D41" s="26">
        <v>7.96116791558984</v>
      </c>
      <c r="E41" s="26">
        <v>28.9549813364589</v>
      </c>
      <c r="F41" s="26">
        <v>157.557720856946</v>
      </c>
    </row>
    <row r="42" spans="2:6" ht="12.75">
      <c r="B42" s="39" t="s">
        <v>74</v>
      </c>
      <c r="C42" s="40">
        <v>2913582.4562</v>
      </c>
      <c r="D42" s="41">
        <v>1.16850336239559</v>
      </c>
      <c r="E42" s="41">
        <v>5.03237579433495</v>
      </c>
      <c r="F42" s="41">
        <v>11.8030362238105</v>
      </c>
    </row>
    <row r="43" spans="2:6" ht="9" customHeight="1">
      <c r="B43" s="33"/>
      <c r="C43" s="34"/>
      <c r="D43" s="35"/>
      <c r="E43" s="35"/>
      <c r="F43" s="35"/>
    </row>
    <row r="44" spans="2:6" ht="12.75">
      <c r="B44" s="42" t="s">
        <v>77</v>
      </c>
      <c r="C44" s="43">
        <v>37307820.6651</v>
      </c>
      <c r="D44" s="44">
        <v>1.82987050413282</v>
      </c>
      <c r="E44" s="44">
        <v>6.7545628832071</v>
      </c>
      <c r="F44" s="44">
        <v>13.1914746904046</v>
      </c>
    </row>
    <row r="45" spans="2:6" ht="9" customHeight="1">
      <c r="B45" s="6"/>
      <c r="C45" s="45"/>
      <c r="D45" s="46"/>
      <c r="E45" s="46"/>
      <c r="F45" s="46"/>
    </row>
    <row r="46" spans="2:6" ht="12.75">
      <c r="B46" s="180" t="s">
        <v>78</v>
      </c>
      <c r="C46" s="181"/>
      <c r="D46" s="181"/>
      <c r="E46" s="181"/>
      <c r="F46" s="182"/>
    </row>
    <row r="47" spans="2:6" ht="9" customHeight="1">
      <c r="B47" s="47"/>
      <c r="C47" s="48"/>
      <c r="D47" s="49"/>
      <c r="E47" s="49"/>
      <c r="F47" s="50"/>
    </row>
    <row r="48" spans="2:5" ht="12.75">
      <c r="B48" s="7"/>
      <c r="C48" s="51" t="s">
        <v>79</v>
      </c>
      <c r="D48" s="178" t="s">
        <v>133</v>
      </c>
      <c r="E48" s="179"/>
    </row>
    <row r="49" spans="2:5" ht="12.75">
      <c r="B49" s="52"/>
      <c r="C49" s="51" t="s">
        <v>66</v>
      </c>
      <c r="D49" s="53" t="s">
        <v>134</v>
      </c>
      <c r="E49" s="53" t="s">
        <v>135</v>
      </c>
    </row>
    <row r="50" spans="2:5" ht="12.75">
      <c r="B50" s="36" t="s">
        <v>208</v>
      </c>
      <c r="C50" s="151">
        <v>605641.6086</v>
      </c>
      <c r="D50" s="152">
        <v>-6.97117636429637</v>
      </c>
      <c r="E50" s="38">
        <v>3.92403659925529</v>
      </c>
    </row>
    <row r="51" spans="2:5" ht="12.75">
      <c r="B51" s="24" t="s">
        <v>80</v>
      </c>
      <c r="C51" s="54">
        <v>154774.6461</v>
      </c>
      <c r="D51" s="26">
        <v>6.34995291365623</v>
      </c>
      <c r="E51" s="26">
        <v>5.36830916753028</v>
      </c>
    </row>
    <row r="52" spans="2:5" ht="12.75">
      <c r="B52" s="24" t="s">
        <v>215</v>
      </c>
      <c r="C52" s="54">
        <v>46202.3117</v>
      </c>
      <c r="D52" s="26">
        <v>11.7726947202015</v>
      </c>
      <c r="E52" s="26">
        <v>10.0203088928935</v>
      </c>
    </row>
    <row r="53" spans="2:6" ht="12.75">
      <c r="B53" s="39" t="s">
        <v>81</v>
      </c>
      <c r="C53" s="55">
        <v>33644.0427</v>
      </c>
      <c r="D53" s="153" t="s">
        <v>258</v>
      </c>
      <c r="E53" s="41">
        <v>-40.4218814100217</v>
      </c>
      <c r="F53" s="77"/>
    </row>
    <row r="54" spans="2:5" ht="12.75">
      <c r="B54" s="56" t="s">
        <v>82</v>
      </c>
      <c r="C54" s="57">
        <v>840262.6091</v>
      </c>
      <c r="D54" s="58">
        <v>-9.28528685647112</v>
      </c>
      <c r="E54" s="58">
        <v>1.46538367419828</v>
      </c>
    </row>
    <row r="55" spans="2:5" ht="12.75">
      <c r="B55" s="36" t="s">
        <v>83</v>
      </c>
      <c r="C55" s="59">
        <v>432692.91</v>
      </c>
      <c r="D55" s="38">
        <v>-1.850407266932</v>
      </c>
      <c r="E55" s="38">
        <v>4.01561546661309</v>
      </c>
    </row>
    <row r="56" spans="2:5" ht="12.75">
      <c r="B56" s="39" t="s">
        <v>49</v>
      </c>
      <c r="C56" s="55">
        <v>124618.4558</v>
      </c>
      <c r="D56" s="41">
        <v>8.54456560971551</v>
      </c>
      <c r="E56" s="41">
        <v>-9.26325558019428</v>
      </c>
    </row>
    <row r="57" spans="2:5" ht="12.75">
      <c r="B57" s="56" t="s">
        <v>84</v>
      </c>
      <c r="C57" s="57">
        <v>282951.2433</v>
      </c>
      <c r="D57" s="58">
        <v>-25.5221635413768</v>
      </c>
      <c r="E57" s="58">
        <v>2.96689111621595</v>
      </c>
    </row>
    <row r="58" spans="2:5" ht="12.75">
      <c r="B58" s="36" t="s">
        <v>228</v>
      </c>
      <c r="C58" s="59">
        <v>46980.2614</v>
      </c>
      <c r="D58" s="38">
        <v>-11.4823669154475</v>
      </c>
      <c r="E58" s="38">
        <v>12.0483366533712</v>
      </c>
    </row>
    <row r="59" spans="2:6" ht="12.75">
      <c r="B59" s="56" t="s">
        <v>238</v>
      </c>
      <c r="C59" s="60">
        <v>329931.5048</v>
      </c>
      <c r="D59" s="58">
        <v>-23.4450984879979</v>
      </c>
      <c r="E59" s="58">
        <v>4.16910062861824</v>
      </c>
      <c r="F59" s="77"/>
    </row>
    <row r="60" spans="2:5" ht="12.75">
      <c r="B60" s="24" t="s">
        <v>104</v>
      </c>
      <c r="C60" s="54">
        <v>-10974.5273</v>
      </c>
      <c r="D60" s="154" t="s">
        <v>258</v>
      </c>
      <c r="E60" s="26">
        <v>-2.8249909588444</v>
      </c>
    </row>
    <row r="61" spans="2:5" ht="12.75">
      <c r="B61" s="56" t="s">
        <v>99</v>
      </c>
      <c r="C61" s="57">
        <v>318956.9774</v>
      </c>
      <c r="D61" s="58">
        <v>-18.4084436104944</v>
      </c>
      <c r="E61" s="58">
        <v>4.42771108865736</v>
      </c>
    </row>
    <row r="62" spans="2:5" ht="12.75">
      <c r="B62" s="39" t="s">
        <v>94</v>
      </c>
      <c r="C62" s="61">
        <v>56386.4758</v>
      </c>
      <c r="D62" s="164">
        <v>-11.9751498251813</v>
      </c>
      <c r="E62" s="41">
        <v>8.61097497296659</v>
      </c>
    </row>
    <row r="63" spans="2:5" ht="12.75">
      <c r="B63" s="56" t="s">
        <v>85</v>
      </c>
      <c r="C63" s="62">
        <v>262570.5016</v>
      </c>
      <c r="D63" s="63">
        <v>-19.746973124507</v>
      </c>
      <c r="E63" s="58">
        <v>3.57105018563926</v>
      </c>
    </row>
    <row r="65" ht="12.75">
      <c r="B65" s="90" t="s">
        <v>27</v>
      </c>
    </row>
    <row r="66" spans="2:5" ht="12.75">
      <c r="B66" s="42" t="s">
        <v>128</v>
      </c>
      <c r="C66" s="65">
        <v>130908.4222</v>
      </c>
      <c r="D66" s="66">
        <v>8.01036729864197</v>
      </c>
      <c r="E66" s="44">
        <v>-9.12825418051774</v>
      </c>
    </row>
    <row r="68" ht="9" customHeight="1"/>
    <row r="69" ht="12.75">
      <c r="B69" s="3" t="s">
        <v>60</v>
      </c>
    </row>
    <row r="70" ht="12.75">
      <c r="B70" s="3" t="s">
        <v>146</v>
      </c>
    </row>
    <row r="71" ht="12.75">
      <c r="B71" s="3" t="s">
        <v>136</v>
      </c>
    </row>
    <row r="72" ht="12.75">
      <c r="B72" s="3" t="s">
        <v>145</v>
      </c>
    </row>
    <row r="74" ht="12.75">
      <c r="B74" s="3" t="s">
        <v>103</v>
      </c>
    </row>
  </sheetData>
  <mergeCells count="5">
    <mergeCell ref="B3:F3"/>
    <mergeCell ref="D48:E48"/>
    <mergeCell ref="B7:F7"/>
    <mergeCell ref="B46:F46"/>
    <mergeCell ref="B4:F4"/>
  </mergeCells>
  <hyperlinks>
    <hyperlink ref="F1" location="Indice!A1" display="Volver"/>
  </hyperlinks>
  <printOptions horizontalCentered="1"/>
  <pageMargins left="0.15748031496062992" right="0.2755905511811024" top="0.37" bottom="0.31" header="0" footer="0"/>
  <pageSetup fitToHeight="1" fitToWidth="1" horizontalDpi="600" verticalDpi="600" orientation="portrait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47.625" style="3" customWidth="1"/>
    <col min="2" max="2" width="17.875" style="3" bestFit="1" customWidth="1"/>
    <col min="3" max="8" width="17.625" style="3" customWidth="1"/>
    <col min="9" max="9" width="17.125" style="3" bestFit="1" customWidth="1"/>
    <col min="10" max="10" width="15.125" style="3" bestFit="1" customWidth="1"/>
    <col min="11" max="11" width="16.50390625" style="3" bestFit="1" customWidth="1"/>
    <col min="12" max="12" width="15.00390625" style="3" bestFit="1" customWidth="1"/>
    <col min="13" max="13" width="16.125" style="3" bestFit="1" customWidth="1"/>
    <col min="14" max="14" width="4.375" style="3" customWidth="1"/>
    <col min="15" max="16" width="15.125" style="3" bestFit="1" customWidth="1"/>
    <col min="17" max="16384" width="12.00390625" style="3" customWidth="1"/>
  </cols>
  <sheetData>
    <row r="1" spans="1:16" ht="12.75">
      <c r="A1" s="110" t="s">
        <v>155</v>
      </c>
      <c r="P1" s="114" t="s">
        <v>162</v>
      </c>
    </row>
    <row r="2" ht="12.75">
      <c r="A2" s="110" t="s">
        <v>156</v>
      </c>
    </row>
    <row r="3" ht="12.75">
      <c r="A3" s="110"/>
    </row>
    <row r="4" spans="1:16" ht="18">
      <c r="A4" s="186" t="s">
        <v>261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2.75">
      <c r="A5" s="187" t="s">
        <v>91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5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6" s="49" customFormat="1" ht="12.75">
      <c r="A7" s="69"/>
      <c r="B7" s="183" t="s">
        <v>0</v>
      </c>
      <c r="C7" s="184"/>
      <c r="D7" s="184"/>
      <c r="E7" s="184"/>
      <c r="F7" s="185"/>
      <c r="G7" s="70" t="s">
        <v>61</v>
      </c>
      <c r="H7" s="69" t="s">
        <v>62</v>
      </c>
      <c r="I7" s="184" t="s">
        <v>38</v>
      </c>
      <c r="J7" s="184"/>
      <c r="K7" s="185"/>
      <c r="L7" s="69" t="s">
        <v>120</v>
      </c>
      <c r="M7" s="69" t="s">
        <v>1</v>
      </c>
      <c r="N7" s="71"/>
      <c r="O7" s="69" t="s">
        <v>0</v>
      </c>
      <c r="P7" s="69" t="s">
        <v>0</v>
      </c>
    </row>
    <row r="8" spans="1:16" s="49" customFormat="1" ht="12.75">
      <c r="A8" s="72" t="s">
        <v>20</v>
      </c>
      <c r="B8" s="73" t="s">
        <v>96</v>
      </c>
      <c r="C8" s="72" t="s">
        <v>97</v>
      </c>
      <c r="D8" s="183" t="s">
        <v>95</v>
      </c>
      <c r="E8" s="184"/>
      <c r="F8" s="185"/>
      <c r="G8" s="67" t="s">
        <v>2</v>
      </c>
      <c r="H8" s="72" t="s">
        <v>2</v>
      </c>
      <c r="I8" s="73" t="s">
        <v>96</v>
      </c>
      <c r="J8" s="72" t="s">
        <v>138</v>
      </c>
      <c r="K8" s="72" t="s">
        <v>105</v>
      </c>
      <c r="L8" s="72" t="s">
        <v>121</v>
      </c>
      <c r="M8" s="72" t="s">
        <v>3</v>
      </c>
      <c r="N8" s="71"/>
      <c r="O8" s="72" t="s">
        <v>63</v>
      </c>
      <c r="P8" s="72" t="s">
        <v>37</v>
      </c>
    </row>
    <row r="9" spans="1:16" s="49" customFormat="1" ht="12.75">
      <c r="A9" s="74"/>
      <c r="B9" s="75"/>
      <c r="C9" s="74"/>
      <c r="D9" s="74" t="s">
        <v>96</v>
      </c>
      <c r="E9" s="74" t="s">
        <v>36</v>
      </c>
      <c r="F9" s="74" t="s">
        <v>106</v>
      </c>
      <c r="G9" s="76"/>
      <c r="H9" s="74"/>
      <c r="I9" s="75"/>
      <c r="J9" s="74" t="s">
        <v>139</v>
      </c>
      <c r="K9" s="74"/>
      <c r="L9" s="74" t="s">
        <v>122</v>
      </c>
      <c r="M9" s="74"/>
      <c r="N9" s="71"/>
      <c r="O9" s="74"/>
      <c r="P9" s="74"/>
    </row>
    <row r="10" spans="2:16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O10" s="77"/>
      <c r="P10" s="77"/>
    </row>
    <row r="11" spans="1:16" s="49" customFormat="1" ht="12.75">
      <c r="A11" s="78" t="s">
        <v>16</v>
      </c>
      <c r="B11" s="79">
        <v>33000749.986</v>
      </c>
      <c r="C11" s="79">
        <v>23687730.2712</v>
      </c>
      <c r="D11" s="79">
        <v>9313019.7143</v>
      </c>
      <c r="E11" s="79">
        <v>3705218.3261</v>
      </c>
      <c r="F11" s="79">
        <v>5607801.3882</v>
      </c>
      <c r="G11" s="79">
        <v>5649427.3589</v>
      </c>
      <c r="H11" s="79">
        <v>45539173.4916</v>
      </c>
      <c r="I11" s="79">
        <v>25823674.3785</v>
      </c>
      <c r="J11" s="79">
        <v>5987310.1803</v>
      </c>
      <c r="K11" s="79">
        <v>19836364.1982</v>
      </c>
      <c r="L11" s="79">
        <v>4992504.0188</v>
      </c>
      <c r="M11" s="79">
        <v>3221427.776</v>
      </c>
      <c r="N11" s="80"/>
      <c r="O11" s="79">
        <v>2673661.1114</v>
      </c>
      <c r="P11" s="79">
        <v>409277.6765</v>
      </c>
    </row>
    <row r="12" spans="1:16" ht="12.75">
      <c r="A12" s="81" t="s">
        <v>28</v>
      </c>
      <c r="B12" s="81">
        <v>191479.0172</v>
      </c>
      <c r="C12" s="81">
        <v>190382.1773</v>
      </c>
      <c r="D12" s="81">
        <v>1096.8396</v>
      </c>
      <c r="E12" s="81">
        <v>41.8347</v>
      </c>
      <c r="F12" s="81">
        <v>1055.0049</v>
      </c>
      <c r="G12" s="81">
        <v>176557.4249</v>
      </c>
      <c r="H12" s="81">
        <v>473281.8846</v>
      </c>
      <c r="I12" s="81">
        <v>124279.5946</v>
      </c>
      <c r="J12" s="81">
        <v>5416.2456</v>
      </c>
      <c r="K12" s="81">
        <v>118863.349</v>
      </c>
      <c r="L12" s="81">
        <v>0</v>
      </c>
      <c r="M12" s="81">
        <v>93250.0488</v>
      </c>
      <c r="N12" s="77"/>
      <c r="O12" s="81">
        <v>15296.0503</v>
      </c>
      <c r="P12" s="81">
        <v>2111.9686</v>
      </c>
    </row>
    <row r="13" spans="1:16" ht="12.75">
      <c r="A13" s="82" t="s">
        <v>25</v>
      </c>
      <c r="B13" s="82">
        <v>3046425.1295</v>
      </c>
      <c r="C13" s="82">
        <v>2014773.7903</v>
      </c>
      <c r="D13" s="82">
        <v>1031651.3386</v>
      </c>
      <c r="E13" s="82">
        <v>259122.157</v>
      </c>
      <c r="F13" s="82">
        <v>772529.1816</v>
      </c>
      <c r="G13" s="82">
        <v>400231.2622</v>
      </c>
      <c r="H13" s="82">
        <v>3993582.4196</v>
      </c>
      <c r="I13" s="82">
        <v>2540810.627</v>
      </c>
      <c r="J13" s="82">
        <v>375547.9205</v>
      </c>
      <c r="K13" s="82">
        <v>2165262.7065</v>
      </c>
      <c r="L13" s="82">
        <v>275005.811</v>
      </c>
      <c r="M13" s="82">
        <v>251731.414</v>
      </c>
      <c r="N13" s="77"/>
      <c r="O13" s="82">
        <v>213996.9985</v>
      </c>
      <c r="P13" s="82">
        <v>55489.9071</v>
      </c>
    </row>
    <row r="14" spans="1:16" ht="12.75">
      <c r="A14" s="82" t="s">
        <v>5</v>
      </c>
      <c r="B14" s="82">
        <v>1045576.5473</v>
      </c>
      <c r="C14" s="82">
        <v>932501.4078</v>
      </c>
      <c r="D14" s="82">
        <v>113075.139</v>
      </c>
      <c r="E14" s="82">
        <v>29782.1809</v>
      </c>
      <c r="F14" s="82">
        <v>83292.9581</v>
      </c>
      <c r="G14" s="82">
        <v>348385.4973</v>
      </c>
      <c r="H14" s="82">
        <v>1550992.8559</v>
      </c>
      <c r="I14" s="82">
        <v>927539.4004</v>
      </c>
      <c r="J14" s="82">
        <v>176287.8487</v>
      </c>
      <c r="K14" s="82">
        <v>751251.5517</v>
      </c>
      <c r="L14" s="82">
        <v>142797.4944</v>
      </c>
      <c r="M14" s="82">
        <v>111131.5275</v>
      </c>
      <c r="N14" s="77"/>
      <c r="O14" s="82">
        <v>154270.3789</v>
      </c>
      <c r="P14" s="82">
        <v>4453.026</v>
      </c>
    </row>
    <row r="15" spans="1:16" ht="12.75">
      <c r="A15" s="82" t="s">
        <v>6</v>
      </c>
      <c r="B15" s="82">
        <v>2618539.304</v>
      </c>
      <c r="C15" s="82">
        <v>2131662.9174</v>
      </c>
      <c r="D15" s="82">
        <v>486876.3861</v>
      </c>
      <c r="E15" s="82">
        <v>300069.6492</v>
      </c>
      <c r="F15" s="82">
        <v>186806.7369</v>
      </c>
      <c r="G15" s="82">
        <v>464186.9526</v>
      </c>
      <c r="H15" s="82">
        <v>3297311.5968</v>
      </c>
      <c r="I15" s="82">
        <v>1955470.3624</v>
      </c>
      <c r="J15" s="82">
        <v>188683.5645</v>
      </c>
      <c r="K15" s="82">
        <v>1766786.7979</v>
      </c>
      <c r="L15" s="82">
        <v>311886.8213</v>
      </c>
      <c r="M15" s="82">
        <v>344506.7197</v>
      </c>
      <c r="N15" s="77"/>
      <c r="O15" s="82">
        <v>202248.1069</v>
      </c>
      <c r="P15" s="82">
        <v>22993.5193</v>
      </c>
    </row>
    <row r="16" spans="1:16" ht="12.75">
      <c r="A16" s="82" t="s">
        <v>7</v>
      </c>
      <c r="B16" s="82">
        <v>7152290.4991</v>
      </c>
      <c r="C16" s="82">
        <v>5226965.0902</v>
      </c>
      <c r="D16" s="82">
        <v>1925325.4083</v>
      </c>
      <c r="E16" s="82">
        <v>751571.8684</v>
      </c>
      <c r="F16" s="82">
        <v>1173753.5399</v>
      </c>
      <c r="G16" s="82">
        <v>1159397.6598</v>
      </c>
      <c r="H16" s="82">
        <v>9553764.3024</v>
      </c>
      <c r="I16" s="82">
        <v>5678701.5187</v>
      </c>
      <c r="J16" s="82">
        <v>1677824.1253</v>
      </c>
      <c r="K16" s="82">
        <v>4000877.3934</v>
      </c>
      <c r="L16" s="82">
        <v>1098742.4126</v>
      </c>
      <c r="M16" s="82">
        <v>520777.1983</v>
      </c>
      <c r="N16" s="77"/>
      <c r="O16" s="82">
        <v>580353.7985</v>
      </c>
      <c r="P16" s="82">
        <v>89285.8197</v>
      </c>
    </row>
    <row r="17" spans="1:16" ht="12.75">
      <c r="A17" s="82" t="s">
        <v>144</v>
      </c>
      <c r="B17" s="82">
        <v>4788906.1374</v>
      </c>
      <c r="C17" s="82">
        <v>3469695.6473</v>
      </c>
      <c r="D17" s="82">
        <v>1319210.4896</v>
      </c>
      <c r="E17" s="82">
        <v>562672.9431</v>
      </c>
      <c r="F17" s="82">
        <v>756537.5465</v>
      </c>
      <c r="G17" s="82">
        <v>633278.7433</v>
      </c>
      <c r="H17" s="82">
        <v>6625242.9234</v>
      </c>
      <c r="I17" s="82">
        <v>3758495.5697</v>
      </c>
      <c r="J17" s="82">
        <v>1101839.0186</v>
      </c>
      <c r="K17" s="82">
        <v>2656656.5511</v>
      </c>
      <c r="L17" s="82">
        <v>580818.5717</v>
      </c>
      <c r="M17" s="82">
        <v>383430.3263</v>
      </c>
      <c r="N17" s="77"/>
      <c r="O17" s="82">
        <v>412874.7376</v>
      </c>
      <c r="P17" s="82">
        <v>52304.8723</v>
      </c>
    </row>
    <row r="18" spans="1:16" ht="12.75">
      <c r="A18" s="82" t="s">
        <v>8</v>
      </c>
      <c r="B18" s="82">
        <v>1514619.711</v>
      </c>
      <c r="C18" s="82">
        <v>1236644.0748</v>
      </c>
      <c r="D18" s="82">
        <v>277975.6357</v>
      </c>
      <c r="E18" s="82">
        <v>34885.1555</v>
      </c>
      <c r="F18" s="82">
        <v>243090.4802</v>
      </c>
      <c r="G18" s="82">
        <v>72038.6071</v>
      </c>
      <c r="H18" s="82">
        <v>1800342.4352</v>
      </c>
      <c r="I18" s="82">
        <v>937963.5598</v>
      </c>
      <c r="J18" s="82">
        <v>161689.0775</v>
      </c>
      <c r="K18" s="82">
        <v>776274.4823</v>
      </c>
      <c r="L18" s="82">
        <v>382437.6581</v>
      </c>
      <c r="M18" s="82">
        <v>137297.6379</v>
      </c>
      <c r="N18" s="77"/>
      <c r="O18" s="82">
        <v>50137.4304</v>
      </c>
      <c r="P18" s="82">
        <v>24598.1508</v>
      </c>
    </row>
    <row r="19" spans="1:16" ht="12.75">
      <c r="A19" s="82" t="s">
        <v>31</v>
      </c>
      <c r="B19" s="82">
        <v>3877.0543</v>
      </c>
      <c r="C19" s="82">
        <v>3877.0543</v>
      </c>
      <c r="D19" s="82">
        <v>0</v>
      </c>
      <c r="E19" s="82">
        <v>0</v>
      </c>
      <c r="F19" s="82">
        <v>0</v>
      </c>
      <c r="G19" s="82">
        <v>237168.0293</v>
      </c>
      <c r="H19" s="82">
        <v>665900.2706</v>
      </c>
      <c r="I19" s="82">
        <v>102156.8861</v>
      </c>
      <c r="J19" s="82">
        <v>-36391.9997</v>
      </c>
      <c r="K19" s="82">
        <v>138548.8858</v>
      </c>
      <c r="L19" s="82">
        <v>0</v>
      </c>
      <c r="M19" s="82">
        <v>76192.2702</v>
      </c>
      <c r="N19" s="77"/>
      <c r="O19" s="82">
        <v>0</v>
      </c>
      <c r="P19" s="82">
        <v>0</v>
      </c>
    </row>
    <row r="20" spans="1:16" ht="12.75">
      <c r="A20" s="82" t="s">
        <v>11</v>
      </c>
      <c r="B20" s="82">
        <v>288469.3762</v>
      </c>
      <c r="C20" s="82">
        <v>12063.2037</v>
      </c>
      <c r="D20" s="82">
        <v>276406.1723</v>
      </c>
      <c r="E20" s="82">
        <v>222668.1681</v>
      </c>
      <c r="F20" s="82">
        <v>53738.0042</v>
      </c>
      <c r="G20" s="82">
        <v>6673.7278</v>
      </c>
      <c r="H20" s="82">
        <v>333672.285</v>
      </c>
      <c r="I20" s="82">
        <v>214309.7248</v>
      </c>
      <c r="J20" s="82">
        <v>12980.9029</v>
      </c>
      <c r="K20" s="82">
        <v>201328.8219</v>
      </c>
      <c r="L20" s="82">
        <v>42681.0093</v>
      </c>
      <c r="M20" s="82">
        <v>43219.2657</v>
      </c>
      <c r="N20" s="77"/>
      <c r="O20" s="82">
        <v>0</v>
      </c>
      <c r="P20" s="82">
        <v>641.0756</v>
      </c>
    </row>
    <row r="21" spans="1:16" ht="12.75">
      <c r="A21" s="82" t="s">
        <v>24</v>
      </c>
      <c r="B21" s="82">
        <v>98129.3973</v>
      </c>
      <c r="C21" s="82">
        <v>98129.3971</v>
      </c>
      <c r="D21" s="82">
        <v>0</v>
      </c>
      <c r="E21" s="82">
        <v>0</v>
      </c>
      <c r="F21" s="82">
        <v>0</v>
      </c>
      <c r="G21" s="82">
        <v>867.8678</v>
      </c>
      <c r="H21" s="82">
        <v>116769.4845</v>
      </c>
      <c r="I21" s="82">
        <v>77780.834</v>
      </c>
      <c r="J21" s="82">
        <v>9452.5163</v>
      </c>
      <c r="K21" s="82">
        <v>68328.3177</v>
      </c>
      <c r="L21" s="82">
        <v>0</v>
      </c>
      <c r="M21" s="82">
        <v>12733.0256</v>
      </c>
      <c r="N21" s="77"/>
      <c r="O21" s="82">
        <v>4557.56</v>
      </c>
      <c r="P21" s="82">
        <v>1515.1613</v>
      </c>
    </row>
    <row r="22" spans="1:16" ht="12.75">
      <c r="A22" s="82" t="s">
        <v>29</v>
      </c>
      <c r="B22" s="82">
        <v>176895.3936</v>
      </c>
      <c r="C22" s="82">
        <v>176827.967</v>
      </c>
      <c r="D22" s="82">
        <v>67.4263</v>
      </c>
      <c r="E22" s="82">
        <v>67.4263</v>
      </c>
      <c r="F22" s="82">
        <v>0</v>
      </c>
      <c r="G22" s="82">
        <v>196218.0721</v>
      </c>
      <c r="H22" s="82">
        <v>488117.5061</v>
      </c>
      <c r="I22" s="82">
        <v>162096.0154</v>
      </c>
      <c r="J22" s="82">
        <v>-2837.61620000005</v>
      </c>
      <c r="K22" s="82">
        <v>164933.6316</v>
      </c>
      <c r="L22" s="82">
        <v>0</v>
      </c>
      <c r="M22" s="82">
        <v>88954.9147</v>
      </c>
      <c r="N22" s="77"/>
      <c r="O22" s="82">
        <v>18676.1151</v>
      </c>
      <c r="P22" s="82">
        <v>18.4616</v>
      </c>
    </row>
    <row r="23" spans="1:16" ht="12.75">
      <c r="A23" s="82" t="s">
        <v>9</v>
      </c>
      <c r="B23" s="82">
        <v>121282.945</v>
      </c>
      <c r="C23" s="82">
        <v>120185.0173</v>
      </c>
      <c r="D23" s="82">
        <v>1097.9272</v>
      </c>
      <c r="E23" s="82">
        <v>281.0364</v>
      </c>
      <c r="F23" s="82">
        <v>816.8908</v>
      </c>
      <c r="G23" s="82">
        <v>32307.7358</v>
      </c>
      <c r="H23" s="82">
        <v>184598.8351</v>
      </c>
      <c r="I23" s="82">
        <v>135231.2775</v>
      </c>
      <c r="J23" s="82">
        <v>18279.2577</v>
      </c>
      <c r="K23" s="82">
        <v>116952.0198</v>
      </c>
      <c r="L23" s="82">
        <v>3963.436</v>
      </c>
      <c r="M23" s="82">
        <v>14952.6637</v>
      </c>
      <c r="N23" s="77"/>
      <c r="O23" s="82">
        <v>7090.6871</v>
      </c>
      <c r="P23" s="82">
        <v>2347.8077</v>
      </c>
    </row>
    <row r="24" spans="1:16" ht="12.75">
      <c r="A24" s="82" t="s">
        <v>26</v>
      </c>
      <c r="B24" s="82">
        <v>12721.5198</v>
      </c>
      <c r="C24" s="82">
        <v>12721.5195</v>
      </c>
      <c r="D24" s="82">
        <v>0</v>
      </c>
      <c r="E24" s="82">
        <v>0</v>
      </c>
      <c r="F24" s="82">
        <v>0</v>
      </c>
      <c r="G24" s="82">
        <v>11680.3889</v>
      </c>
      <c r="H24" s="82">
        <v>48525.6783</v>
      </c>
      <c r="I24" s="82">
        <v>13014.0826</v>
      </c>
      <c r="J24" s="82">
        <v>-1768.8371</v>
      </c>
      <c r="K24" s="82">
        <v>14782.9197</v>
      </c>
      <c r="L24" s="82">
        <v>0</v>
      </c>
      <c r="M24" s="82">
        <v>8258.8682</v>
      </c>
      <c r="N24" s="77"/>
      <c r="O24" s="82">
        <v>0</v>
      </c>
      <c r="P24" s="82">
        <v>0</v>
      </c>
    </row>
    <row r="25" spans="1:16" ht="12.75">
      <c r="A25" s="82" t="s">
        <v>107</v>
      </c>
      <c r="B25" s="82">
        <v>112106.6231</v>
      </c>
      <c r="C25" s="82">
        <v>502.9698</v>
      </c>
      <c r="D25" s="82">
        <v>111603.6532</v>
      </c>
      <c r="E25" s="82">
        <v>111603.6532</v>
      </c>
      <c r="F25" s="82">
        <v>0</v>
      </c>
      <c r="G25" s="82">
        <v>3009.6542</v>
      </c>
      <c r="H25" s="82">
        <v>126589.7817</v>
      </c>
      <c r="I25" s="82">
        <v>102597.2364</v>
      </c>
      <c r="J25" s="82">
        <v>3453.479</v>
      </c>
      <c r="K25" s="82">
        <v>99143.7574</v>
      </c>
      <c r="L25" s="82">
        <v>0</v>
      </c>
      <c r="M25" s="82">
        <v>13910.4118</v>
      </c>
      <c r="N25" s="77"/>
      <c r="O25" s="82">
        <v>0</v>
      </c>
      <c r="P25" s="82">
        <v>383.9162</v>
      </c>
    </row>
    <row r="26" spans="1:16" ht="12.75">
      <c r="A26" s="82" t="s">
        <v>30</v>
      </c>
      <c r="B26" s="82">
        <v>17723.8284</v>
      </c>
      <c r="C26" s="82">
        <v>17723.8284</v>
      </c>
      <c r="D26" s="82">
        <v>0</v>
      </c>
      <c r="E26" s="82">
        <v>0</v>
      </c>
      <c r="F26" s="82">
        <v>0</v>
      </c>
      <c r="G26" s="82">
        <v>20029.977</v>
      </c>
      <c r="H26" s="82">
        <v>69722.925</v>
      </c>
      <c r="I26" s="82">
        <v>17186.6786</v>
      </c>
      <c r="J26" s="82">
        <v>2510.6033</v>
      </c>
      <c r="K26" s="82">
        <v>14676.0753</v>
      </c>
      <c r="L26" s="82">
        <v>0</v>
      </c>
      <c r="M26" s="82">
        <v>19446.9241</v>
      </c>
      <c r="N26" s="77"/>
      <c r="O26" s="82">
        <v>0</v>
      </c>
      <c r="P26" s="82">
        <v>0</v>
      </c>
    </row>
    <row r="27" spans="1:16" ht="12.75">
      <c r="A27" s="82" t="s">
        <v>22</v>
      </c>
      <c r="B27" s="82">
        <v>123007.3681</v>
      </c>
      <c r="C27" s="82">
        <v>14958.1895</v>
      </c>
      <c r="D27" s="82">
        <v>108049.1783</v>
      </c>
      <c r="E27" s="82">
        <v>94097.5833</v>
      </c>
      <c r="F27" s="82">
        <v>13951.595</v>
      </c>
      <c r="G27" s="82">
        <v>1969.4653</v>
      </c>
      <c r="H27" s="82">
        <v>145416.5666</v>
      </c>
      <c r="I27" s="82">
        <v>109531.4778</v>
      </c>
      <c r="J27" s="82">
        <v>1106.0496</v>
      </c>
      <c r="K27" s="82">
        <v>108425.4282</v>
      </c>
      <c r="L27" s="82">
        <v>14511.9626</v>
      </c>
      <c r="M27" s="82">
        <v>14289.8539</v>
      </c>
      <c r="N27" s="77"/>
      <c r="O27" s="82">
        <v>0</v>
      </c>
      <c r="P27" s="82">
        <v>124.62</v>
      </c>
    </row>
    <row r="28" spans="1:16" ht="12.75">
      <c r="A28" s="82" t="s">
        <v>10</v>
      </c>
      <c r="B28" s="82">
        <v>9210323.4217</v>
      </c>
      <c r="C28" s="82">
        <v>6089917.2024</v>
      </c>
      <c r="D28" s="82">
        <v>3120406.2186</v>
      </c>
      <c r="E28" s="82">
        <v>1192568.5037</v>
      </c>
      <c r="F28" s="82">
        <v>1927837.7149</v>
      </c>
      <c r="G28" s="82">
        <v>1393277.6663</v>
      </c>
      <c r="H28" s="82">
        <v>12683234.0063</v>
      </c>
      <c r="I28" s="82">
        <v>6870533.0002</v>
      </c>
      <c r="J28" s="82">
        <v>1968748.3103</v>
      </c>
      <c r="K28" s="82">
        <v>4901784.6899</v>
      </c>
      <c r="L28" s="82">
        <v>1803569.5353</v>
      </c>
      <c r="M28" s="82">
        <v>829232.4237</v>
      </c>
      <c r="N28" s="77"/>
      <c r="O28" s="82">
        <v>854669.5372</v>
      </c>
      <c r="P28" s="82">
        <v>121693.3984</v>
      </c>
    </row>
    <row r="29" spans="1:16" ht="12.75">
      <c r="A29" s="82" t="s">
        <v>32</v>
      </c>
      <c r="B29" s="82">
        <v>1258987.5087</v>
      </c>
      <c r="C29" s="82">
        <v>1159756.7233</v>
      </c>
      <c r="D29" s="82">
        <v>99230.7851</v>
      </c>
      <c r="E29" s="82">
        <v>22075.3334</v>
      </c>
      <c r="F29" s="82">
        <v>77155.4517</v>
      </c>
      <c r="G29" s="82">
        <v>220225.7089</v>
      </c>
      <c r="H29" s="82">
        <v>1686921.4657</v>
      </c>
      <c r="I29" s="82">
        <v>1033756.6101</v>
      </c>
      <c r="J29" s="82">
        <v>94076.5712</v>
      </c>
      <c r="K29" s="82">
        <v>939680.0389</v>
      </c>
      <c r="L29" s="82">
        <v>136038.3816</v>
      </c>
      <c r="M29" s="82">
        <v>126461.5009</v>
      </c>
      <c r="N29" s="77"/>
      <c r="O29" s="82">
        <v>72114.7733</v>
      </c>
      <c r="P29" s="82">
        <v>9156.8986</v>
      </c>
    </row>
    <row r="30" spans="1:16" ht="12.75">
      <c r="A30" s="83" t="s">
        <v>21</v>
      </c>
      <c r="B30" s="83">
        <v>1219389.2033</v>
      </c>
      <c r="C30" s="83">
        <v>778442.0894</v>
      </c>
      <c r="D30" s="83">
        <v>440947.1134</v>
      </c>
      <c r="E30" s="83">
        <v>123710.831</v>
      </c>
      <c r="F30" s="83">
        <v>317236.2824</v>
      </c>
      <c r="G30" s="83">
        <v>271922.9174</v>
      </c>
      <c r="H30" s="83">
        <v>1695186.2681</v>
      </c>
      <c r="I30" s="83">
        <v>1062219.9213</v>
      </c>
      <c r="J30" s="83">
        <v>230413.1419</v>
      </c>
      <c r="K30" s="83">
        <v>831806.7794</v>
      </c>
      <c r="L30" s="83">
        <v>200050.9239</v>
      </c>
      <c r="M30" s="83">
        <v>131650.78</v>
      </c>
      <c r="N30" s="77"/>
      <c r="O30" s="83">
        <v>87374.9372</v>
      </c>
      <c r="P30" s="83">
        <v>22159.0723</v>
      </c>
    </row>
    <row r="31" ht="12.75">
      <c r="N31" s="77"/>
    </row>
    <row r="32" spans="1:16" ht="12.75">
      <c r="A32" s="79" t="s">
        <v>143</v>
      </c>
      <c r="B32" s="79">
        <v>5399494.0263</v>
      </c>
      <c r="C32" s="79">
        <v>2761815.0978</v>
      </c>
      <c r="D32" s="79">
        <v>2637678.928</v>
      </c>
      <c r="E32" s="79">
        <v>566526.8501</v>
      </c>
      <c r="F32" s="79">
        <v>2071152.0779</v>
      </c>
      <c r="G32" s="79">
        <v>2607601.2335</v>
      </c>
      <c r="H32" s="79">
        <v>8757538.1272</v>
      </c>
      <c r="I32" s="79">
        <v>4789706.4691</v>
      </c>
      <c r="J32" s="79">
        <v>1331233.9547</v>
      </c>
      <c r="K32" s="79">
        <v>3458472.5144</v>
      </c>
      <c r="L32" s="79">
        <v>2164747.2655</v>
      </c>
      <c r="M32" s="79">
        <v>409860.8647</v>
      </c>
      <c r="N32" s="84"/>
      <c r="O32" s="79">
        <v>169317.6453</v>
      </c>
      <c r="P32" s="79">
        <v>44967.9631</v>
      </c>
    </row>
    <row r="33" ht="12.75">
      <c r="N33" s="77"/>
    </row>
    <row r="34" spans="1:16" s="49" customFormat="1" ht="12.75">
      <c r="A34" s="79" t="s">
        <v>23</v>
      </c>
      <c r="B34" s="79">
        <v>1821159.109</v>
      </c>
      <c r="C34" s="79">
        <v>1150493.2268</v>
      </c>
      <c r="D34" s="79">
        <v>670665.8817</v>
      </c>
      <c r="E34" s="79">
        <v>427091.7849</v>
      </c>
      <c r="F34" s="79">
        <v>243574.0968</v>
      </c>
      <c r="G34" s="79">
        <v>714189.8487</v>
      </c>
      <c r="H34" s="79">
        <v>3588037.4772</v>
      </c>
      <c r="I34" s="79">
        <v>1890954.1029</v>
      </c>
      <c r="J34" s="79">
        <v>525901.5207</v>
      </c>
      <c r="K34" s="79">
        <v>1365052.5822</v>
      </c>
      <c r="L34" s="79">
        <v>238722.9386</v>
      </c>
      <c r="M34" s="79">
        <v>517122.1685</v>
      </c>
      <c r="N34" s="85"/>
      <c r="O34" s="79">
        <v>70603.6994</v>
      </c>
      <c r="P34" s="79">
        <v>19242.3946</v>
      </c>
    </row>
    <row r="35" spans="1:16" ht="12.75">
      <c r="A35" s="82" t="s">
        <v>34</v>
      </c>
      <c r="B35" s="82">
        <v>893933.0523</v>
      </c>
      <c r="C35" s="82">
        <v>533869.2401</v>
      </c>
      <c r="D35" s="82">
        <v>360063.8118</v>
      </c>
      <c r="E35" s="82">
        <v>166235.75</v>
      </c>
      <c r="F35" s="82">
        <v>193828.0618</v>
      </c>
      <c r="G35" s="82">
        <v>83895.2397</v>
      </c>
      <c r="H35" s="82">
        <v>1309751.1012</v>
      </c>
      <c r="I35" s="82">
        <v>832130.2207</v>
      </c>
      <c r="J35" s="82">
        <v>138804.7996</v>
      </c>
      <c r="K35" s="82">
        <v>693325.4211</v>
      </c>
      <c r="L35" s="82">
        <v>171884.0254</v>
      </c>
      <c r="M35" s="82">
        <v>105473.2958</v>
      </c>
      <c r="N35" s="77"/>
      <c r="O35" s="82">
        <v>38064.3197</v>
      </c>
      <c r="P35" s="82">
        <v>11044.3298</v>
      </c>
    </row>
    <row r="36" spans="1:16" ht="12.75">
      <c r="A36" s="82" t="s">
        <v>12</v>
      </c>
      <c r="B36" s="82">
        <v>861031.5345</v>
      </c>
      <c r="C36" s="82">
        <v>550494.1998</v>
      </c>
      <c r="D36" s="82">
        <v>310537.3342</v>
      </c>
      <c r="E36" s="82">
        <v>260791.2992</v>
      </c>
      <c r="F36" s="82">
        <v>49746.035</v>
      </c>
      <c r="G36" s="82">
        <v>389032.2067</v>
      </c>
      <c r="H36" s="82">
        <v>1766729.287</v>
      </c>
      <c r="I36" s="82">
        <v>968314.6835</v>
      </c>
      <c r="J36" s="82">
        <v>356036.386</v>
      </c>
      <c r="K36" s="82">
        <v>612278.2975</v>
      </c>
      <c r="L36" s="82">
        <v>66838.9132</v>
      </c>
      <c r="M36" s="82">
        <v>241232.9779</v>
      </c>
      <c r="N36" s="77"/>
      <c r="O36" s="82">
        <v>30040.0971</v>
      </c>
      <c r="P36" s="82">
        <v>8183.3828</v>
      </c>
    </row>
    <row r="37" spans="1:16" ht="12.75">
      <c r="A37" s="82" t="s">
        <v>14</v>
      </c>
      <c r="B37" s="82">
        <v>12832.4251</v>
      </c>
      <c r="C37" s="82">
        <v>12789.4654</v>
      </c>
      <c r="D37" s="82">
        <v>42.9594</v>
      </c>
      <c r="E37" s="82">
        <v>42.9594</v>
      </c>
      <c r="F37" s="82">
        <v>0</v>
      </c>
      <c r="G37" s="82">
        <v>0</v>
      </c>
      <c r="H37" s="82">
        <v>15558.7921</v>
      </c>
      <c r="I37" s="82">
        <v>2044.1669</v>
      </c>
      <c r="J37" s="82">
        <v>1038.3656</v>
      </c>
      <c r="K37" s="82">
        <v>1005.8013</v>
      </c>
      <c r="L37" s="82">
        <v>0</v>
      </c>
      <c r="M37" s="82">
        <v>12404.818</v>
      </c>
      <c r="N37" s="77"/>
      <c r="O37" s="82">
        <v>611.2961</v>
      </c>
      <c r="P37" s="82">
        <v>14.6818</v>
      </c>
    </row>
    <row r="38" spans="1:16" ht="12.75">
      <c r="A38" s="82" t="s">
        <v>13</v>
      </c>
      <c r="B38" s="82">
        <v>28288.1967</v>
      </c>
      <c r="C38" s="82">
        <v>28266.4206</v>
      </c>
      <c r="D38" s="82">
        <v>21.776</v>
      </c>
      <c r="E38" s="82">
        <v>21.776</v>
      </c>
      <c r="F38" s="82">
        <v>0</v>
      </c>
      <c r="G38" s="82">
        <v>0.8006</v>
      </c>
      <c r="H38" s="82">
        <v>30604.7383</v>
      </c>
      <c r="I38" s="82">
        <v>5336.3538</v>
      </c>
      <c r="J38" s="82">
        <v>1572.3041</v>
      </c>
      <c r="K38" s="82">
        <v>3764.0497</v>
      </c>
      <c r="L38" s="82">
        <v>0</v>
      </c>
      <c r="M38" s="82">
        <v>19652.5153</v>
      </c>
      <c r="N38" s="77"/>
      <c r="O38" s="82">
        <v>1127.9839</v>
      </c>
      <c r="P38" s="82">
        <v>0</v>
      </c>
    </row>
    <row r="39" spans="1:16" ht="12.75">
      <c r="A39" s="82" t="s">
        <v>35</v>
      </c>
      <c r="B39" s="82">
        <v>25064.5698</v>
      </c>
      <c r="C39" s="82">
        <v>25064.5697</v>
      </c>
      <c r="D39" s="82">
        <v>0</v>
      </c>
      <c r="E39" s="82">
        <v>0</v>
      </c>
      <c r="F39" s="82">
        <v>0</v>
      </c>
      <c r="G39" s="82">
        <v>8977.0367</v>
      </c>
      <c r="H39" s="82">
        <v>45588.4199</v>
      </c>
      <c r="I39" s="82">
        <v>26082.358</v>
      </c>
      <c r="J39" s="82">
        <v>19691.1507</v>
      </c>
      <c r="K39" s="82">
        <v>6391.2073</v>
      </c>
      <c r="L39" s="82">
        <v>0</v>
      </c>
      <c r="M39" s="82">
        <v>13564.5185</v>
      </c>
      <c r="N39" s="77"/>
      <c r="O39" s="82">
        <v>760.0024</v>
      </c>
      <c r="P39" s="82">
        <v>0</v>
      </c>
    </row>
    <row r="40" spans="1:16" ht="12.75">
      <c r="A40" s="83" t="s">
        <v>33</v>
      </c>
      <c r="B40" s="83">
        <v>9.3303</v>
      </c>
      <c r="C40" s="83">
        <v>9.3303</v>
      </c>
      <c r="D40" s="83">
        <v>0</v>
      </c>
      <c r="E40" s="83">
        <v>0</v>
      </c>
      <c r="F40" s="83">
        <v>0</v>
      </c>
      <c r="G40" s="83">
        <v>232284.5648</v>
      </c>
      <c r="H40" s="83">
        <v>419805.1383</v>
      </c>
      <c r="I40" s="83">
        <v>57046.3196</v>
      </c>
      <c r="J40" s="83">
        <v>8758.5145</v>
      </c>
      <c r="K40" s="83">
        <v>48287.8051</v>
      </c>
      <c r="L40" s="83">
        <v>0</v>
      </c>
      <c r="M40" s="83">
        <v>124794.0427</v>
      </c>
      <c r="N40" s="77"/>
      <c r="O40" s="83">
        <v>0</v>
      </c>
      <c r="P40" s="83">
        <v>0</v>
      </c>
    </row>
    <row r="41" spans="10:16" ht="12.75">
      <c r="J41" s="77"/>
      <c r="K41" s="77"/>
      <c r="L41" s="77"/>
      <c r="M41" s="77"/>
      <c r="N41" s="77"/>
      <c r="O41" s="77"/>
      <c r="P41" s="77"/>
    </row>
    <row r="42" spans="1:16" s="49" customFormat="1" ht="12.75">
      <c r="A42" s="78" t="s">
        <v>15</v>
      </c>
      <c r="B42" s="79">
        <v>40221403.1214</v>
      </c>
      <c r="C42" s="79">
        <v>27600038.5964</v>
      </c>
      <c r="D42" s="79">
        <v>12621364.5242</v>
      </c>
      <c r="E42" s="79">
        <v>4698836.9612</v>
      </c>
      <c r="F42" s="79">
        <v>7922527.563</v>
      </c>
      <c r="G42" s="79">
        <v>8971218.4412</v>
      </c>
      <c r="H42" s="79">
        <v>57884749.096</v>
      </c>
      <c r="I42" s="79">
        <v>32504334.9508</v>
      </c>
      <c r="J42" s="79">
        <v>7844445.6559</v>
      </c>
      <c r="K42" s="79">
        <v>24659889.2949</v>
      </c>
      <c r="L42" s="79">
        <v>7395974.2231</v>
      </c>
      <c r="M42" s="79">
        <v>4148410.8094</v>
      </c>
      <c r="N42" s="48"/>
      <c r="O42" s="79">
        <v>2913582.4562</v>
      </c>
      <c r="P42" s="79">
        <v>473488.0343</v>
      </c>
    </row>
    <row r="43" spans="1:16" s="49" customFormat="1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8"/>
      <c r="O43" s="87"/>
      <c r="P43" s="87"/>
    </row>
    <row r="44" spans="1:16" s="49" customFormat="1" ht="12.75">
      <c r="A44" s="86" t="s">
        <v>27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48"/>
      <c r="O44" s="87"/>
      <c r="P44" s="87"/>
    </row>
    <row r="45" spans="1:16" s="49" customFormat="1" ht="12.75">
      <c r="A45" s="88" t="s">
        <v>142</v>
      </c>
      <c r="B45" s="88">
        <v>174553.7939</v>
      </c>
      <c r="C45" s="88">
        <v>6312.5509</v>
      </c>
      <c r="D45" s="88">
        <v>168241.2429</v>
      </c>
      <c r="E45" s="88">
        <v>168241.2429</v>
      </c>
      <c r="F45" s="88">
        <v>0</v>
      </c>
      <c r="G45" s="88">
        <v>13.5464</v>
      </c>
      <c r="H45" s="88">
        <v>188000.1154</v>
      </c>
      <c r="I45" s="88">
        <v>143637.3515</v>
      </c>
      <c r="J45" s="88">
        <v>3916.2484</v>
      </c>
      <c r="K45" s="88">
        <v>139721.1031</v>
      </c>
      <c r="L45" s="88">
        <v>0</v>
      </c>
      <c r="M45" s="88">
        <v>23797.4464</v>
      </c>
      <c r="N45" s="48"/>
      <c r="O45" s="88">
        <v>0</v>
      </c>
      <c r="P45" s="88">
        <v>800.9322</v>
      </c>
    </row>
    <row r="46" spans="1:16" ht="12.75">
      <c r="A46" s="88" t="s">
        <v>141</v>
      </c>
      <c r="B46" s="88">
        <v>4614352.3435</v>
      </c>
      <c r="C46" s="88">
        <v>3463383.0963</v>
      </c>
      <c r="D46" s="88">
        <v>1150969.2467</v>
      </c>
      <c r="E46" s="88">
        <v>394431.7002</v>
      </c>
      <c r="F46" s="88">
        <v>756537.5465</v>
      </c>
      <c r="G46" s="88">
        <v>633265.1968</v>
      </c>
      <c r="H46" s="88">
        <v>6465579.3108</v>
      </c>
      <c r="I46" s="88">
        <v>3615531.8338</v>
      </c>
      <c r="J46" s="88">
        <v>1098596.3859</v>
      </c>
      <c r="K46" s="88">
        <v>2516935.4479</v>
      </c>
      <c r="L46" s="88">
        <v>580818.5717</v>
      </c>
      <c r="M46" s="88">
        <v>383430.3263</v>
      </c>
      <c r="O46" s="88">
        <v>412874.7376</v>
      </c>
      <c r="P46" s="88">
        <v>51503.9401</v>
      </c>
    </row>
    <row r="47" ht="12.75">
      <c r="A47" s="45"/>
    </row>
    <row r="48" spans="1:13" ht="12.75">
      <c r="A48" s="3" t="s">
        <v>60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4" ht="12.75">
      <c r="A49" s="3" t="s">
        <v>140</v>
      </c>
      <c r="N49" s="49"/>
    </row>
    <row r="50" spans="1:14" ht="12.75">
      <c r="A50" s="3" t="s">
        <v>245</v>
      </c>
      <c r="N50" s="49"/>
    </row>
    <row r="51" ht="12.75">
      <c r="N51" s="49"/>
    </row>
    <row r="52" spans="1:14" ht="12.75">
      <c r="A52" s="3" t="s">
        <v>103</v>
      </c>
      <c r="N52" s="49"/>
    </row>
    <row r="53" ht="12.75">
      <c r="N53" s="49"/>
    </row>
    <row r="54" ht="12.75">
      <c r="N54" s="49"/>
    </row>
    <row r="55" ht="12.75">
      <c r="N55" s="49"/>
    </row>
    <row r="56" ht="12.75">
      <c r="N56" s="49"/>
    </row>
    <row r="57" ht="12.75">
      <c r="N57" s="49"/>
    </row>
    <row r="58" ht="12.75">
      <c r="N58" s="49"/>
    </row>
    <row r="59" ht="12.75">
      <c r="N59" s="49"/>
    </row>
    <row r="60" ht="12.75">
      <c r="N60" s="49"/>
    </row>
    <row r="61" ht="12.75">
      <c r="N61" s="49"/>
    </row>
    <row r="62" ht="12.75">
      <c r="N62" s="49"/>
    </row>
    <row r="64" spans="1:13" ht="12.75">
      <c r="A64" s="47"/>
      <c r="B64" s="49"/>
      <c r="C64" s="49"/>
      <c r="D64" s="49"/>
      <c r="E64" s="49"/>
      <c r="F64" s="49"/>
      <c r="G64" s="49"/>
      <c r="H64" s="49"/>
      <c r="I64" s="49"/>
      <c r="J64" s="48"/>
      <c r="K64" s="49"/>
      <c r="L64" s="49"/>
      <c r="M64" s="49"/>
    </row>
    <row r="65" spans="1:13" ht="12.75">
      <c r="A65" s="49" t="s">
        <v>17</v>
      </c>
      <c r="B65" s="49"/>
      <c r="C65" s="49"/>
      <c r="D65" s="49"/>
      <c r="E65" s="49"/>
      <c r="F65" s="49"/>
      <c r="G65" s="49"/>
      <c r="H65" s="49"/>
      <c r="I65" s="49"/>
      <c r="J65" s="48"/>
      <c r="K65" s="49"/>
      <c r="L65" s="49"/>
      <c r="M65" s="49"/>
    </row>
    <row r="66" spans="1:13" ht="12.75">
      <c r="A66" s="49" t="s">
        <v>18</v>
      </c>
      <c r="B66" s="49"/>
      <c r="C66" s="49"/>
      <c r="D66" s="49"/>
      <c r="E66" s="49"/>
      <c r="F66" s="49"/>
      <c r="G66" s="49"/>
      <c r="H66" s="49"/>
      <c r="I66" s="49"/>
      <c r="J66" s="48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8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7" t="s">
        <v>19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 t="s">
        <v>18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M76" s="49"/>
    </row>
    <row r="77" spans="1:13" ht="12.75">
      <c r="A77" s="49"/>
      <c r="M77" s="49"/>
    </row>
  </sheetData>
  <mergeCells count="5">
    <mergeCell ref="D8:F8"/>
    <mergeCell ref="A4:P4"/>
    <mergeCell ref="A5:P5"/>
    <mergeCell ref="B7:F7"/>
    <mergeCell ref="I7:K7"/>
  </mergeCells>
  <hyperlinks>
    <hyperlink ref="P1" location="Indice!A1" display="Volver"/>
  </hyperlinks>
  <printOptions horizontalCentered="1" verticalCentered="1"/>
  <pageMargins left="0.17" right="0.17" top="0.35" bottom="0.28" header="0" footer="0"/>
  <pageSetup fitToHeight="1" fitToWidth="1" horizontalDpi="600" verticalDpi="600" orientation="landscape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">
      <selection activeCell="A1" sqref="A1"/>
    </sheetView>
  </sheetViews>
  <sheetFormatPr defaultColWidth="11.00390625" defaultRowHeight="12.75"/>
  <cols>
    <col min="1" max="1" width="37.50390625" style="3" bestFit="1" customWidth="1"/>
    <col min="2" max="2" width="17.125" style="3" bestFit="1" customWidth="1"/>
    <col min="3" max="3" width="13.375" style="3" bestFit="1" customWidth="1"/>
    <col min="4" max="4" width="16.625" style="3" bestFit="1" customWidth="1"/>
    <col min="5" max="5" width="18.375" style="3" bestFit="1" customWidth="1"/>
    <col min="6" max="7" width="13.875" style="3" bestFit="1" customWidth="1"/>
    <col min="8" max="8" width="13.125" style="3" bestFit="1" customWidth="1"/>
    <col min="9" max="9" width="13.875" style="3" bestFit="1" customWidth="1"/>
    <col min="10" max="10" width="16.50390625" style="3" bestFit="1" customWidth="1"/>
    <col min="11" max="11" width="19.00390625" style="3" bestFit="1" customWidth="1"/>
    <col min="12" max="12" width="10.00390625" style="3" bestFit="1" customWidth="1"/>
    <col min="13" max="14" width="11.875" style="3" bestFit="1" customWidth="1"/>
    <col min="15" max="15" width="11.625" style="3" bestFit="1" customWidth="1"/>
    <col min="16" max="16" width="4.125" style="3" customWidth="1"/>
    <col min="17" max="17" width="12.50390625" style="3" bestFit="1" customWidth="1"/>
    <col min="18" max="16384" width="12.00390625" style="3" customWidth="1"/>
  </cols>
  <sheetData>
    <row r="1" spans="1:17" ht="12.75">
      <c r="A1" s="110" t="s">
        <v>155</v>
      </c>
      <c r="Q1" s="114" t="s">
        <v>162</v>
      </c>
    </row>
    <row r="2" ht="12.75">
      <c r="A2" s="110" t="s">
        <v>156</v>
      </c>
    </row>
    <row r="3" spans="1:17" ht="18">
      <c r="A3" s="186" t="s">
        <v>262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6" ht="12.75">
      <c r="A4" s="187" t="s">
        <v>91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12.75">
      <c r="A6" s="69"/>
      <c r="B6" s="69" t="s">
        <v>59</v>
      </c>
      <c r="C6" s="69" t="s">
        <v>39</v>
      </c>
      <c r="D6" s="69" t="s">
        <v>42</v>
      </c>
      <c r="E6" s="89" t="s">
        <v>43</v>
      </c>
      <c r="F6" s="118" t="s">
        <v>44</v>
      </c>
      <c r="G6" s="69" t="s">
        <v>47</v>
      </c>
      <c r="H6" s="69" t="s">
        <v>50</v>
      </c>
      <c r="I6" s="118" t="s">
        <v>44</v>
      </c>
      <c r="J6" s="69" t="s">
        <v>239</v>
      </c>
      <c r="K6" s="118" t="s">
        <v>240</v>
      </c>
      <c r="L6" s="69" t="s">
        <v>43</v>
      </c>
      <c r="M6" s="118" t="s">
        <v>44</v>
      </c>
      <c r="N6" s="69"/>
      <c r="O6" s="118" t="s">
        <v>44</v>
      </c>
      <c r="P6" s="90"/>
      <c r="Q6" s="69" t="s">
        <v>129</v>
      </c>
    </row>
    <row r="7" spans="1:17" ht="12.75">
      <c r="A7" s="72" t="s">
        <v>20</v>
      </c>
      <c r="B7" s="72" t="s">
        <v>57</v>
      </c>
      <c r="C7" s="72" t="s">
        <v>40</v>
      </c>
      <c r="D7" s="72" t="s">
        <v>241</v>
      </c>
      <c r="E7" s="67" t="s">
        <v>246</v>
      </c>
      <c r="F7" s="155" t="s">
        <v>45</v>
      </c>
      <c r="G7" s="72" t="s">
        <v>48</v>
      </c>
      <c r="H7" s="72" t="s">
        <v>51</v>
      </c>
      <c r="I7" s="155" t="s">
        <v>45</v>
      </c>
      <c r="J7" s="72" t="s">
        <v>98</v>
      </c>
      <c r="K7" s="155" t="s">
        <v>242</v>
      </c>
      <c r="L7" s="72" t="s">
        <v>54</v>
      </c>
      <c r="M7" s="155" t="s">
        <v>55</v>
      </c>
      <c r="N7" s="72" t="s">
        <v>94</v>
      </c>
      <c r="O7" s="155" t="s">
        <v>4</v>
      </c>
      <c r="P7" s="90"/>
      <c r="Q7" s="72" t="s">
        <v>130</v>
      </c>
    </row>
    <row r="8" spans="1:17" ht="12.75">
      <c r="A8" s="74"/>
      <c r="B8" s="74" t="s">
        <v>58</v>
      </c>
      <c r="C8" s="74"/>
      <c r="D8" s="74" t="s">
        <v>41</v>
      </c>
      <c r="E8" s="75" t="s">
        <v>247</v>
      </c>
      <c r="F8" s="156" t="s">
        <v>46</v>
      </c>
      <c r="G8" s="74" t="s">
        <v>45</v>
      </c>
      <c r="H8" s="74"/>
      <c r="I8" s="156" t="s">
        <v>52</v>
      </c>
      <c r="J8" s="74" t="s">
        <v>243</v>
      </c>
      <c r="K8" s="156" t="s">
        <v>244</v>
      </c>
      <c r="L8" s="74" t="s">
        <v>53</v>
      </c>
      <c r="M8" s="156" t="s">
        <v>56</v>
      </c>
      <c r="N8" s="74"/>
      <c r="O8" s="156"/>
      <c r="P8" s="90"/>
      <c r="Q8" s="74" t="s">
        <v>131</v>
      </c>
    </row>
    <row r="9" spans="3:15" ht="12.75">
      <c r="C9" s="77"/>
      <c r="D9" s="77"/>
      <c r="E9" s="77"/>
      <c r="F9" s="91"/>
      <c r="G9" s="77"/>
      <c r="H9" s="77"/>
      <c r="I9" s="91"/>
      <c r="J9" s="77"/>
      <c r="K9" s="91"/>
      <c r="L9" s="77"/>
      <c r="M9" s="91"/>
      <c r="N9" s="91"/>
      <c r="O9" s="64"/>
    </row>
    <row r="10" spans="1:17" ht="12.75">
      <c r="A10" s="78" t="s">
        <v>16</v>
      </c>
      <c r="B10" s="79">
        <v>465992.4029</v>
      </c>
      <c r="C10" s="79">
        <v>123084.3012</v>
      </c>
      <c r="D10" s="79">
        <v>36989.7648</v>
      </c>
      <c r="E10" s="79">
        <v>14415.2557</v>
      </c>
      <c r="F10" s="96">
        <v>640481.7246</v>
      </c>
      <c r="G10" s="79">
        <v>318423.2442</v>
      </c>
      <c r="H10" s="79">
        <v>102021.0499</v>
      </c>
      <c r="I10" s="96">
        <v>220037.4305</v>
      </c>
      <c r="J10" s="79">
        <v>40463.0603</v>
      </c>
      <c r="K10" s="96">
        <v>260500.4911</v>
      </c>
      <c r="L10" s="79">
        <v>-11512.2664</v>
      </c>
      <c r="M10" s="96">
        <v>248988.2245</v>
      </c>
      <c r="N10" s="79">
        <v>32386.7837</v>
      </c>
      <c r="O10" s="96">
        <v>216601.4407</v>
      </c>
      <c r="P10" s="90"/>
      <c r="Q10" s="79">
        <v>107851.6269</v>
      </c>
    </row>
    <row r="11" spans="1:17" ht="12.75">
      <c r="A11" s="81" t="s">
        <v>28</v>
      </c>
      <c r="B11" s="81">
        <v>2494.73759999999</v>
      </c>
      <c r="C11" s="81">
        <v>1486.4369</v>
      </c>
      <c r="D11" s="81">
        <v>60.1639</v>
      </c>
      <c r="E11" s="81">
        <v>130.2766</v>
      </c>
      <c r="F11" s="92">
        <v>4171.615</v>
      </c>
      <c r="G11" s="81">
        <v>3151.9115</v>
      </c>
      <c r="H11" s="81">
        <v>-153.159400000004</v>
      </c>
      <c r="I11" s="92">
        <v>1172.8629</v>
      </c>
      <c r="J11" s="81">
        <v>18.1405</v>
      </c>
      <c r="K11" s="92">
        <v>1191.00340000004</v>
      </c>
      <c r="L11" s="81">
        <v>27.8122</v>
      </c>
      <c r="M11" s="92">
        <v>1218.8157</v>
      </c>
      <c r="N11" s="81">
        <v>230.24</v>
      </c>
      <c r="O11" s="92">
        <v>988.5756</v>
      </c>
      <c r="Q11" s="81">
        <v>276.5048</v>
      </c>
    </row>
    <row r="12" spans="1:17" ht="12.75">
      <c r="A12" s="82" t="s">
        <v>25</v>
      </c>
      <c r="B12" s="82">
        <v>29989.5999</v>
      </c>
      <c r="C12" s="82">
        <v>9735.0216</v>
      </c>
      <c r="D12" s="82">
        <v>3627.3458</v>
      </c>
      <c r="E12" s="82">
        <v>-863.35620000002</v>
      </c>
      <c r="F12" s="93">
        <v>42488.6110999999</v>
      </c>
      <c r="G12" s="82">
        <v>26032.2068</v>
      </c>
      <c r="H12" s="82">
        <v>8413.3835</v>
      </c>
      <c r="I12" s="93">
        <v>8043.02079999993</v>
      </c>
      <c r="J12" s="82">
        <v>1736.4445</v>
      </c>
      <c r="K12" s="93">
        <v>9779.46509999999</v>
      </c>
      <c r="L12" s="82">
        <v>2607.0237</v>
      </c>
      <c r="M12" s="93">
        <v>12386.4888</v>
      </c>
      <c r="N12" s="82">
        <v>1412.6561</v>
      </c>
      <c r="O12" s="93">
        <v>10973.8326</v>
      </c>
      <c r="Q12" s="82">
        <v>10129.6502</v>
      </c>
    </row>
    <row r="13" spans="1:17" ht="12.75">
      <c r="A13" s="82" t="s">
        <v>5</v>
      </c>
      <c r="B13" s="82">
        <v>6772.65439999997</v>
      </c>
      <c r="C13" s="82">
        <v>2381.8117</v>
      </c>
      <c r="D13" s="82">
        <v>109.3545</v>
      </c>
      <c r="E13" s="82">
        <v>1514.9362</v>
      </c>
      <c r="F13" s="93">
        <v>10778.7568999999</v>
      </c>
      <c r="G13" s="82">
        <v>7991.4739</v>
      </c>
      <c r="H13" s="82">
        <v>555.9232</v>
      </c>
      <c r="I13" s="93">
        <v>2231.35979999995</v>
      </c>
      <c r="J13" s="82">
        <v>2379.7994</v>
      </c>
      <c r="K13" s="93">
        <v>4611.1592</v>
      </c>
      <c r="L13" s="82">
        <v>36.3511</v>
      </c>
      <c r="M13" s="93">
        <v>4647.5103</v>
      </c>
      <c r="N13" s="82">
        <v>341.8628</v>
      </c>
      <c r="O13" s="93">
        <v>4305.6474</v>
      </c>
      <c r="Q13" s="82">
        <v>653.4412</v>
      </c>
    </row>
    <row r="14" spans="1:17" ht="12.75">
      <c r="A14" s="82" t="s">
        <v>6</v>
      </c>
      <c r="B14" s="82">
        <v>29147.1387</v>
      </c>
      <c r="C14" s="82">
        <v>5299.2475</v>
      </c>
      <c r="D14" s="82">
        <v>2530.8707</v>
      </c>
      <c r="E14" s="82">
        <v>2112.5069</v>
      </c>
      <c r="F14" s="93">
        <v>39089.7638999999</v>
      </c>
      <c r="G14" s="82">
        <v>16572.6043</v>
      </c>
      <c r="H14" s="82">
        <v>7716.3239</v>
      </c>
      <c r="I14" s="93">
        <v>14800.8356999999</v>
      </c>
      <c r="J14" s="82">
        <v>3426.1919</v>
      </c>
      <c r="K14" s="93">
        <v>18227.0275</v>
      </c>
      <c r="L14" s="82">
        <v>-771.861900000018</v>
      </c>
      <c r="M14" s="93">
        <v>17455.1655</v>
      </c>
      <c r="N14" s="82">
        <v>2873.8716</v>
      </c>
      <c r="O14" s="93">
        <v>14581.2938</v>
      </c>
      <c r="Q14" s="82">
        <v>5563.479</v>
      </c>
    </row>
    <row r="15" spans="1:17" ht="12.75">
      <c r="A15" s="82" t="s">
        <v>7</v>
      </c>
      <c r="B15" s="82">
        <v>96015.3328</v>
      </c>
      <c r="C15" s="82">
        <v>31331.0194</v>
      </c>
      <c r="D15" s="82">
        <v>11359.8362</v>
      </c>
      <c r="E15" s="82">
        <v>1480.46</v>
      </c>
      <c r="F15" s="93">
        <v>140186.6485</v>
      </c>
      <c r="G15" s="82">
        <v>67612.6293</v>
      </c>
      <c r="H15" s="82">
        <v>18197.0225</v>
      </c>
      <c r="I15" s="93">
        <v>54376.9967</v>
      </c>
      <c r="J15" s="82">
        <v>9570.1249</v>
      </c>
      <c r="K15" s="93">
        <v>63947.1217</v>
      </c>
      <c r="L15" s="82">
        <v>-1491.01640000002</v>
      </c>
      <c r="M15" s="93">
        <v>62456.1053</v>
      </c>
      <c r="N15" s="82">
        <v>4944.4425</v>
      </c>
      <c r="O15" s="93">
        <v>57511.6627</v>
      </c>
      <c r="Q15" s="82">
        <v>26108.3357</v>
      </c>
    </row>
    <row r="16" spans="1:17" ht="12.75">
      <c r="A16" s="82" t="s">
        <v>144</v>
      </c>
      <c r="B16" s="82">
        <v>72427.1575</v>
      </c>
      <c r="C16" s="82">
        <v>18697.231</v>
      </c>
      <c r="D16" s="82">
        <v>4350.1036</v>
      </c>
      <c r="E16" s="82">
        <v>-468.293300000019</v>
      </c>
      <c r="F16" s="93">
        <v>95006.1987</v>
      </c>
      <c r="G16" s="82">
        <v>52178.3396</v>
      </c>
      <c r="H16" s="82">
        <v>12437.9273</v>
      </c>
      <c r="I16" s="93">
        <v>30389.9318</v>
      </c>
      <c r="J16" s="82">
        <v>5932.0639</v>
      </c>
      <c r="K16" s="93">
        <v>36321.9957</v>
      </c>
      <c r="L16" s="82">
        <v>-2001.06950000004</v>
      </c>
      <c r="M16" s="93">
        <v>34320.9261</v>
      </c>
      <c r="N16" s="82">
        <v>5329.6279</v>
      </c>
      <c r="O16" s="93">
        <v>28991.2982</v>
      </c>
      <c r="Q16" s="82">
        <v>14508.8276</v>
      </c>
    </row>
    <row r="17" spans="1:17" ht="12.75">
      <c r="A17" s="82" t="s">
        <v>8</v>
      </c>
      <c r="B17" s="82">
        <v>21427.7159</v>
      </c>
      <c r="C17" s="82">
        <v>6068.1982</v>
      </c>
      <c r="D17" s="82">
        <v>1639.4169</v>
      </c>
      <c r="E17" s="82">
        <v>532.4085</v>
      </c>
      <c r="F17" s="93">
        <v>29667.7394</v>
      </c>
      <c r="G17" s="82">
        <v>14743.5531</v>
      </c>
      <c r="H17" s="82">
        <v>8036.1486</v>
      </c>
      <c r="I17" s="93">
        <v>6888.0377</v>
      </c>
      <c r="J17" s="82">
        <v>302.1928</v>
      </c>
      <c r="K17" s="93">
        <v>7190.2307</v>
      </c>
      <c r="L17" s="82">
        <v>-611.355200000049</v>
      </c>
      <c r="M17" s="93">
        <v>6578.8755</v>
      </c>
      <c r="N17" s="82">
        <v>902.3803</v>
      </c>
      <c r="O17" s="93">
        <v>5676.4951</v>
      </c>
      <c r="Q17" s="82">
        <v>3559.1096</v>
      </c>
    </row>
    <row r="18" spans="1:17" ht="12.75">
      <c r="A18" s="82" t="s">
        <v>31</v>
      </c>
      <c r="B18" s="82">
        <v>-1880.99460000001</v>
      </c>
      <c r="C18" s="82">
        <v>-60.1218000000226</v>
      </c>
      <c r="D18" s="82">
        <v>0</v>
      </c>
      <c r="E18" s="82">
        <v>7234.0338</v>
      </c>
      <c r="F18" s="93">
        <v>5292.91739999996</v>
      </c>
      <c r="G18" s="82">
        <v>1666.7948</v>
      </c>
      <c r="H18" s="82">
        <v>0.1909</v>
      </c>
      <c r="I18" s="93">
        <v>3625.93169999996</v>
      </c>
      <c r="J18" s="82">
        <v>0</v>
      </c>
      <c r="K18" s="93">
        <v>3625.93160000001</v>
      </c>
      <c r="L18" s="82">
        <v>0</v>
      </c>
      <c r="M18" s="93">
        <v>3625.9315</v>
      </c>
      <c r="N18" s="82">
        <v>598.5471</v>
      </c>
      <c r="O18" s="93">
        <v>3027.3843</v>
      </c>
      <c r="Q18" s="82">
        <v>0</v>
      </c>
    </row>
    <row r="19" spans="1:17" ht="12.75">
      <c r="A19" s="82" t="s">
        <v>11</v>
      </c>
      <c r="B19" s="82">
        <v>12238.4273</v>
      </c>
      <c r="C19" s="82">
        <v>1338.7555</v>
      </c>
      <c r="D19" s="82">
        <v>0</v>
      </c>
      <c r="E19" s="82">
        <v>-200.2105</v>
      </c>
      <c r="F19" s="93">
        <v>13376.9724</v>
      </c>
      <c r="G19" s="82">
        <v>5789.972</v>
      </c>
      <c r="H19" s="82">
        <v>2019.6507</v>
      </c>
      <c r="I19" s="93">
        <v>5567.3497</v>
      </c>
      <c r="J19" s="82">
        <v>0</v>
      </c>
      <c r="K19" s="93">
        <v>5567.3498</v>
      </c>
      <c r="L19" s="82">
        <v>40.9186</v>
      </c>
      <c r="M19" s="93">
        <v>5608.2684</v>
      </c>
      <c r="N19" s="82">
        <v>1006.4394</v>
      </c>
      <c r="O19" s="93">
        <v>4601.8289</v>
      </c>
      <c r="Q19" s="82">
        <v>2604.2972</v>
      </c>
    </row>
    <row r="20" spans="1:17" ht="12.75">
      <c r="A20" s="82" t="s">
        <v>24</v>
      </c>
      <c r="B20" s="82">
        <v>1571.58699999997</v>
      </c>
      <c r="C20" s="82">
        <v>113.348</v>
      </c>
      <c r="D20" s="82">
        <v>169.9572</v>
      </c>
      <c r="E20" s="82">
        <v>501.3841</v>
      </c>
      <c r="F20" s="93">
        <v>2356.27619999996</v>
      </c>
      <c r="G20" s="82">
        <v>2312.4072</v>
      </c>
      <c r="H20" s="82">
        <v>298.5918</v>
      </c>
      <c r="I20" s="93">
        <v>-254.722800000035</v>
      </c>
      <c r="J20" s="82">
        <v>-3.89530000003288</v>
      </c>
      <c r="K20" s="93">
        <v>-258.618000000033</v>
      </c>
      <c r="L20" s="82">
        <v>0.0001</v>
      </c>
      <c r="M20" s="93">
        <v>-258.617800000007</v>
      </c>
      <c r="N20" s="82">
        <v>-108.675900000031</v>
      </c>
      <c r="O20" s="93">
        <v>-149.941900000034</v>
      </c>
      <c r="Q20" s="82">
        <v>740.2678</v>
      </c>
    </row>
    <row r="21" spans="1:17" ht="12.75">
      <c r="A21" s="82" t="s">
        <v>29</v>
      </c>
      <c r="B21" s="82">
        <v>-78.1105000000384</v>
      </c>
      <c r="C21" s="82">
        <v>-39.1468999999925</v>
      </c>
      <c r="D21" s="82">
        <v>0</v>
      </c>
      <c r="E21" s="82">
        <v>2806.5822</v>
      </c>
      <c r="F21" s="93">
        <v>2689.32479999997</v>
      </c>
      <c r="G21" s="82">
        <v>1918.8516</v>
      </c>
      <c r="H21" s="82">
        <v>-431.778000000049</v>
      </c>
      <c r="I21" s="93">
        <v>1202.25120000002</v>
      </c>
      <c r="J21" s="82">
        <v>0</v>
      </c>
      <c r="K21" s="93">
        <v>1202.25130000003</v>
      </c>
      <c r="L21" s="82">
        <v>25.5923</v>
      </c>
      <c r="M21" s="93">
        <v>1227.8435</v>
      </c>
      <c r="N21" s="82">
        <v>209.6766</v>
      </c>
      <c r="O21" s="93">
        <v>1018.1669</v>
      </c>
      <c r="Q21" s="82">
        <v>0</v>
      </c>
    </row>
    <row r="22" spans="1:17" ht="12.75">
      <c r="A22" s="82" t="s">
        <v>9</v>
      </c>
      <c r="B22" s="82">
        <v>2807.6257</v>
      </c>
      <c r="C22" s="82">
        <v>352.3171</v>
      </c>
      <c r="D22" s="82">
        <v>26.7469</v>
      </c>
      <c r="E22" s="82">
        <v>27.8453</v>
      </c>
      <c r="F22" s="93">
        <v>3214.53499999998</v>
      </c>
      <c r="G22" s="82">
        <v>2242.4863</v>
      </c>
      <c r="H22" s="82">
        <v>191.3395</v>
      </c>
      <c r="I22" s="93">
        <v>780.709199999977</v>
      </c>
      <c r="J22" s="82">
        <v>20.5349</v>
      </c>
      <c r="K22" s="93">
        <v>801.244399999999</v>
      </c>
      <c r="L22" s="82">
        <v>-70.0203000000329</v>
      </c>
      <c r="M22" s="93">
        <v>731.224</v>
      </c>
      <c r="N22" s="82">
        <v>83.3476</v>
      </c>
      <c r="O22" s="93">
        <v>647.8764</v>
      </c>
      <c r="Q22" s="82">
        <v>70.92</v>
      </c>
    </row>
    <row r="23" spans="1:17" ht="12.75">
      <c r="A23" s="82" t="s">
        <v>26</v>
      </c>
      <c r="B23" s="82">
        <v>416.7935</v>
      </c>
      <c r="C23" s="82">
        <v>9.9189</v>
      </c>
      <c r="D23" s="82">
        <v>0</v>
      </c>
      <c r="E23" s="82">
        <v>11.5449999999907</v>
      </c>
      <c r="F23" s="93">
        <v>438.257399999991</v>
      </c>
      <c r="G23" s="82">
        <v>520.1671</v>
      </c>
      <c r="H23" s="82">
        <v>-7.93820000003325</v>
      </c>
      <c r="I23" s="93">
        <v>-73.9714999999761</v>
      </c>
      <c r="J23" s="82">
        <v>128.1883</v>
      </c>
      <c r="K23" s="93">
        <v>54.2167000000341</v>
      </c>
      <c r="L23" s="82">
        <v>46.3346</v>
      </c>
      <c r="M23" s="93">
        <v>100.5514</v>
      </c>
      <c r="N23" s="82">
        <v>5.9061</v>
      </c>
      <c r="O23" s="93">
        <v>94.6453</v>
      </c>
      <c r="Q23" s="82">
        <v>0</v>
      </c>
    </row>
    <row r="24" spans="1:17" ht="12.75">
      <c r="A24" s="82" t="s">
        <v>108</v>
      </c>
      <c r="B24" s="82">
        <v>5762.1209</v>
      </c>
      <c r="C24" s="82">
        <v>2340.6696</v>
      </c>
      <c r="D24" s="82">
        <v>122.2226</v>
      </c>
      <c r="E24" s="82">
        <v>-1.98540000000205</v>
      </c>
      <c r="F24" s="93">
        <v>8223.02770000001</v>
      </c>
      <c r="G24" s="82">
        <v>4053.2677</v>
      </c>
      <c r="H24" s="82">
        <v>2314.7753</v>
      </c>
      <c r="I24" s="93">
        <v>1854.98470000001</v>
      </c>
      <c r="J24" s="82">
        <v>0</v>
      </c>
      <c r="K24" s="93">
        <v>1854.9848</v>
      </c>
      <c r="L24" s="82">
        <v>14.3893</v>
      </c>
      <c r="M24" s="93">
        <v>1869.3741</v>
      </c>
      <c r="N24" s="82">
        <v>317.7944</v>
      </c>
      <c r="O24" s="93">
        <v>1551.5797</v>
      </c>
      <c r="Q24" s="82">
        <v>2383.0863</v>
      </c>
    </row>
    <row r="25" spans="1:17" ht="12.75">
      <c r="A25" s="82" t="s">
        <v>30</v>
      </c>
      <c r="B25" s="82">
        <v>-29.1723</v>
      </c>
      <c r="C25" s="82">
        <v>548.7849</v>
      </c>
      <c r="D25" s="82">
        <v>0</v>
      </c>
      <c r="E25" s="82">
        <v>209.2086</v>
      </c>
      <c r="F25" s="93">
        <v>728.8212</v>
      </c>
      <c r="G25" s="82">
        <v>2409.9749</v>
      </c>
      <c r="H25" s="82">
        <v>0</v>
      </c>
      <c r="I25" s="93">
        <v>-1681.1537</v>
      </c>
      <c r="J25" s="82">
        <v>-61.04720000003</v>
      </c>
      <c r="K25" s="93">
        <v>-1742.20070000003</v>
      </c>
      <c r="L25" s="82">
        <v>13.1879</v>
      </c>
      <c r="M25" s="93">
        <v>-1729.01280000003</v>
      </c>
      <c r="N25" s="82">
        <v>-279.245800000033</v>
      </c>
      <c r="O25" s="93">
        <v>-1449.76699999999</v>
      </c>
      <c r="Q25" s="82">
        <v>0</v>
      </c>
    </row>
    <row r="26" spans="1:17" ht="12.75">
      <c r="A26" s="82" t="s">
        <v>22</v>
      </c>
      <c r="B26" s="82">
        <v>4632.20089999995</v>
      </c>
      <c r="C26" s="82">
        <v>782.1585</v>
      </c>
      <c r="D26" s="82">
        <v>0</v>
      </c>
      <c r="E26" s="82">
        <v>122.2381</v>
      </c>
      <c r="F26" s="93">
        <v>5536.59739999995</v>
      </c>
      <c r="G26" s="82">
        <v>3900.0804</v>
      </c>
      <c r="H26" s="82">
        <v>1211.7372</v>
      </c>
      <c r="I26" s="93">
        <v>424.779799999953</v>
      </c>
      <c r="J26" s="82">
        <v>90.9688</v>
      </c>
      <c r="K26" s="93">
        <v>515.7487</v>
      </c>
      <c r="L26" s="82">
        <v>99.3363</v>
      </c>
      <c r="M26" s="93">
        <v>615.085</v>
      </c>
      <c r="N26" s="82">
        <v>0</v>
      </c>
      <c r="O26" s="93">
        <v>615.085</v>
      </c>
      <c r="Q26" s="82">
        <v>1354.7823</v>
      </c>
    </row>
    <row r="27" spans="1:17" ht="12.75">
      <c r="A27" s="82" t="s">
        <v>10</v>
      </c>
      <c r="B27" s="82">
        <v>155094.9638</v>
      </c>
      <c r="C27" s="82">
        <v>36409.6053</v>
      </c>
      <c r="D27" s="82">
        <v>11436.7087</v>
      </c>
      <c r="E27" s="82">
        <v>-2680.4944</v>
      </c>
      <c r="F27" s="93">
        <v>200260.7834</v>
      </c>
      <c r="G27" s="82">
        <v>84216.4347</v>
      </c>
      <c r="H27" s="82">
        <v>34063.9324</v>
      </c>
      <c r="I27" s="93">
        <v>81980.4163</v>
      </c>
      <c r="J27" s="82">
        <v>13326.7817</v>
      </c>
      <c r="K27" s="93">
        <v>95307.1982999999</v>
      </c>
      <c r="L27" s="82">
        <v>-9885.77189999999</v>
      </c>
      <c r="M27" s="93">
        <v>85421.4262</v>
      </c>
      <c r="N27" s="82">
        <v>13228.5299</v>
      </c>
      <c r="O27" s="93">
        <v>72192.8963</v>
      </c>
      <c r="Q27" s="82">
        <v>33989.3335</v>
      </c>
    </row>
    <row r="28" spans="1:17" ht="12.75">
      <c r="A28" s="82" t="s">
        <v>32</v>
      </c>
      <c r="B28" s="82">
        <v>14299.5026</v>
      </c>
      <c r="C28" s="82">
        <v>2196.1288</v>
      </c>
      <c r="D28" s="82">
        <v>477.4837</v>
      </c>
      <c r="E28" s="82">
        <v>1646.0441</v>
      </c>
      <c r="F28" s="93">
        <v>18619.1591</v>
      </c>
      <c r="G28" s="82">
        <v>8835.0549</v>
      </c>
      <c r="H28" s="82">
        <v>3164.4039</v>
      </c>
      <c r="I28" s="93">
        <v>6619.7003</v>
      </c>
      <c r="J28" s="82">
        <v>2114.3084</v>
      </c>
      <c r="K28" s="93">
        <v>8734.009</v>
      </c>
      <c r="L28" s="82">
        <v>-883.729200000002</v>
      </c>
      <c r="M28" s="93">
        <v>7850.2797</v>
      </c>
      <c r="N28" s="82">
        <v>770</v>
      </c>
      <c r="O28" s="93">
        <v>7080.2797</v>
      </c>
      <c r="Q28" s="82">
        <v>2930.0202</v>
      </c>
    </row>
    <row r="29" spans="1:17" ht="12.75">
      <c r="A29" s="83" t="s">
        <v>21</v>
      </c>
      <c r="B29" s="83">
        <v>12883.1221</v>
      </c>
      <c r="C29" s="83">
        <v>4092.9161</v>
      </c>
      <c r="D29" s="83">
        <v>1079.5536</v>
      </c>
      <c r="E29" s="83">
        <v>300.125</v>
      </c>
      <c r="F29" s="94">
        <v>18355.7169</v>
      </c>
      <c r="G29" s="83">
        <v>12275.0332</v>
      </c>
      <c r="H29" s="83">
        <v>3992.5743</v>
      </c>
      <c r="I29" s="94">
        <v>2088.10939999999</v>
      </c>
      <c r="J29" s="83">
        <v>1482.2624</v>
      </c>
      <c r="K29" s="94">
        <v>3570.3719</v>
      </c>
      <c r="L29" s="83">
        <v>1291.6118</v>
      </c>
      <c r="M29" s="94">
        <v>4861.9836</v>
      </c>
      <c r="N29" s="83">
        <v>519.3824</v>
      </c>
      <c r="O29" s="94">
        <v>4342.6011</v>
      </c>
      <c r="Q29" s="83">
        <v>2979.5711</v>
      </c>
    </row>
    <row r="30" spans="6:15" ht="12.75">
      <c r="F30" s="64"/>
      <c r="I30" s="64"/>
      <c r="K30" s="64"/>
      <c r="M30" s="64"/>
      <c r="O30" s="64"/>
    </row>
    <row r="31" spans="1:17" ht="12.75">
      <c r="A31" s="79" t="s">
        <v>143</v>
      </c>
      <c r="B31" s="79">
        <v>76567.0693</v>
      </c>
      <c r="C31" s="79">
        <v>22731.747</v>
      </c>
      <c r="D31" s="79">
        <v>6920.5932</v>
      </c>
      <c r="E31" s="79">
        <v>10262.1989</v>
      </c>
      <c r="F31" s="96">
        <v>116481.6083</v>
      </c>
      <c r="G31" s="79">
        <v>69420.8011</v>
      </c>
      <c r="H31" s="79">
        <v>17792.5693</v>
      </c>
      <c r="I31" s="96">
        <v>29268.2379</v>
      </c>
      <c r="J31" s="79">
        <v>3706.2609</v>
      </c>
      <c r="K31" s="96">
        <v>32974.4991</v>
      </c>
      <c r="L31" s="79">
        <v>-873.374800000049</v>
      </c>
      <c r="M31" s="96">
        <v>32101.1242</v>
      </c>
      <c r="N31" s="79">
        <v>17830.934</v>
      </c>
      <c r="O31" s="96">
        <v>14270.1901</v>
      </c>
      <c r="P31" s="80"/>
      <c r="Q31" s="79">
        <v>13029.8397</v>
      </c>
    </row>
    <row r="32" spans="1:17" ht="12.75">
      <c r="A32" s="80"/>
      <c r="B32" s="80"/>
      <c r="C32" s="80"/>
      <c r="D32" s="80"/>
      <c r="E32" s="80"/>
      <c r="F32" s="64"/>
      <c r="G32" s="80"/>
      <c r="H32" s="80"/>
      <c r="I32" s="64"/>
      <c r="J32" s="80"/>
      <c r="K32" s="64"/>
      <c r="L32" s="80"/>
      <c r="M32" s="64"/>
      <c r="N32" s="80"/>
      <c r="O32" s="64"/>
      <c r="P32" s="80"/>
      <c r="Q32" s="80"/>
    </row>
    <row r="33" spans="1:17" ht="12.75">
      <c r="A33" s="79" t="s">
        <v>23</v>
      </c>
      <c r="B33" s="79">
        <v>63082.1363</v>
      </c>
      <c r="C33" s="79">
        <v>8958.5977</v>
      </c>
      <c r="D33" s="79">
        <v>2291.9536</v>
      </c>
      <c r="E33" s="79">
        <v>8966.5879</v>
      </c>
      <c r="F33" s="96">
        <v>83299.2756</v>
      </c>
      <c r="G33" s="79">
        <v>44848.8646</v>
      </c>
      <c r="H33" s="79">
        <v>4804.8365</v>
      </c>
      <c r="I33" s="96">
        <v>33645.5745</v>
      </c>
      <c r="J33" s="79">
        <v>2810.9401</v>
      </c>
      <c r="K33" s="96">
        <v>36456.5148</v>
      </c>
      <c r="L33" s="79">
        <v>1411.1139</v>
      </c>
      <c r="M33" s="96">
        <v>37867.6287</v>
      </c>
      <c r="N33" s="79">
        <v>6168.7579</v>
      </c>
      <c r="O33" s="96">
        <v>31698.8708</v>
      </c>
      <c r="P33" s="80"/>
      <c r="Q33" s="79">
        <v>10026.9555</v>
      </c>
    </row>
    <row r="34" spans="1:17" ht="12.75">
      <c r="A34" s="82" t="s">
        <v>34</v>
      </c>
      <c r="B34" s="81">
        <v>16884.2291</v>
      </c>
      <c r="C34" s="82">
        <v>3010.5879</v>
      </c>
      <c r="D34" s="82">
        <v>428.1567</v>
      </c>
      <c r="E34" s="82">
        <v>1303.0921</v>
      </c>
      <c r="F34" s="93">
        <v>21626.0658</v>
      </c>
      <c r="G34" s="82">
        <v>13165.7917</v>
      </c>
      <c r="H34" s="82">
        <v>1929.5012</v>
      </c>
      <c r="I34" s="93">
        <v>6530.7729</v>
      </c>
      <c r="J34" s="82">
        <v>736.9044</v>
      </c>
      <c r="K34" s="93">
        <v>7267.6774</v>
      </c>
      <c r="L34" s="82">
        <v>278.421</v>
      </c>
      <c r="M34" s="93">
        <v>7546.0984</v>
      </c>
      <c r="N34" s="82">
        <v>899.7525</v>
      </c>
      <c r="O34" s="92">
        <v>6646.3459</v>
      </c>
      <c r="Q34" s="81">
        <v>5775.9466</v>
      </c>
    </row>
    <row r="35" spans="1:17" ht="12.75">
      <c r="A35" s="82" t="s">
        <v>12</v>
      </c>
      <c r="B35" s="82">
        <v>24129.3316</v>
      </c>
      <c r="C35" s="82">
        <v>5847.9585</v>
      </c>
      <c r="D35" s="82">
        <v>1853.665</v>
      </c>
      <c r="E35" s="82">
        <v>2570.7169</v>
      </c>
      <c r="F35" s="93">
        <v>34401.672</v>
      </c>
      <c r="G35" s="82">
        <v>28911.5385</v>
      </c>
      <c r="H35" s="82">
        <v>2946.5757</v>
      </c>
      <c r="I35" s="93">
        <v>2543.55779999997</v>
      </c>
      <c r="J35" s="82">
        <v>2074.0356</v>
      </c>
      <c r="K35" s="93">
        <v>4617.59350000001</v>
      </c>
      <c r="L35" s="82">
        <v>1226.0584</v>
      </c>
      <c r="M35" s="93">
        <v>5843.6519</v>
      </c>
      <c r="N35" s="82">
        <v>1457.109</v>
      </c>
      <c r="O35" s="93">
        <v>4386.5428</v>
      </c>
      <c r="Q35" s="82">
        <v>4148.3504</v>
      </c>
    </row>
    <row r="36" spans="1:17" ht="12.75">
      <c r="A36" s="82" t="s">
        <v>14</v>
      </c>
      <c r="B36" s="82">
        <v>431.6481</v>
      </c>
      <c r="C36" s="82">
        <v>17.8676</v>
      </c>
      <c r="D36" s="82">
        <v>6.3514</v>
      </c>
      <c r="E36" s="82">
        <v>22.8811</v>
      </c>
      <c r="F36" s="93">
        <v>478.7482</v>
      </c>
      <c r="G36" s="82">
        <v>218.7452</v>
      </c>
      <c r="H36" s="82">
        <v>74.6401</v>
      </c>
      <c r="I36" s="93">
        <v>185.3629</v>
      </c>
      <c r="J36" s="82">
        <v>0</v>
      </c>
      <c r="K36" s="93">
        <v>185.3631</v>
      </c>
      <c r="L36" s="82">
        <v>-255.415399999998</v>
      </c>
      <c r="M36" s="93">
        <v>-70.0524000000441</v>
      </c>
      <c r="N36" s="82">
        <v>0</v>
      </c>
      <c r="O36" s="93">
        <v>-70.0524000000441</v>
      </c>
      <c r="Q36" s="82">
        <v>102.6583</v>
      </c>
    </row>
    <row r="37" spans="1:17" ht="12.75">
      <c r="A37" s="82" t="s">
        <v>13</v>
      </c>
      <c r="B37" s="82">
        <v>417.5024</v>
      </c>
      <c r="C37" s="82">
        <v>25.9855</v>
      </c>
      <c r="D37" s="82">
        <v>3.7803</v>
      </c>
      <c r="E37" s="82">
        <v>39.4219</v>
      </c>
      <c r="F37" s="93">
        <v>486.6901</v>
      </c>
      <c r="G37" s="82">
        <v>656.9792</v>
      </c>
      <c r="H37" s="82">
        <v>-8.66220000002068</v>
      </c>
      <c r="I37" s="93">
        <v>-161.626899999979</v>
      </c>
      <c r="J37" s="82">
        <v>0</v>
      </c>
      <c r="K37" s="93">
        <v>-161.626699999995</v>
      </c>
      <c r="L37" s="82">
        <v>7.3199</v>
      </c>
      <c r="M37" s="93">
        <v>-154.306700000016</v>
      </c>
      <c r="N37" s="82">
        <v>0.0251</v>
      </c>
      <c r="O37" s="93">
        <v>-154.331800000044</v>
      </c>
      <c r="Q37" s="82">
        <v>0</v>
      </c>
    </row>
    <row r="38" spans="1:17" ht="12.75">
      <c r="A38" s="82" t="s">
        <v>35</v>
      </c>
      <c r="B38" s="82">
        <v>696.1117</v>
      </c>
      <c r="C38" s="82">
        <v>48.608</v>
      </c>
      <c r="D38" s="82">
        <v>0</v>
      </c>
      <c r="E38" s="82">
        <v>46.7326</v>
      </c>
      <c r="F38" s="93">
        <v>791.4523</v>
      </c>
      <c r="G38" s="82">
        <v>374.0383</v>
      </c>
      <c r="H38" s="82">
        <v>-70.8170000000391</v>
      </c>
      <c r="I38" s="93">
        <v>488.231000000039</v>
      </c>
      <c r="J38" s="82">
        <v>0</v>
      </c>
      <c r="K38" s="93">
        <v>488.231300000039</v>
      </c>
      <c r="L38" s="82">
        <v>-22.2992000000086</v>
      </c>
      <c r="M38" s="93">
        <v>465.9319</v>
      </c>
      <c r="N38" s="82">
        <v>0</v>
      </c>
      <c r="O38" s="93">
        <v>465.9319</v>
      </c>
      <c r="Q38" s="82">
        <v>0</v>
      </c>
    </row>
    <row r="39" spans="1:17" ht="12.75">
      <c r="A39" s="83" t="s">
        <v>33</v>
      </c>
      <c r="B39" s="83">
        <v>20523.3133</v>
      </c>
      <c r="C39" s="83">
        <v>7.5901</v>
      </c>
      <c r="D39" s="83">
        <v>0</v>
      </c>
      <c r="E39" s="83">
        <v>4983.74299999999</v>
      </c>
      <c r="F39" s="94">
        <v>25514.6464</v>
      </c>
      <c r="G39" s="83">
        <v>1521.7714</v>
      </c>
      <c r="H39" s="83">
        <v>-66.4012000000221</v>
      </c>
      <c r="I39" s="94">
        <v>24059.2762</v>
      </c>
      <c r="J39" s="83">
        <v>0</v>
      </c>
      <c r="K39" s="94">
        <v>24059.2763</v>
      </c>
      <c r="L39" s="83">
        <v>177.0292</v>
      </c>
      <c r="M39" s="94">
        <v>24236.3056</v>
      </c>
      <c r="N39" s="83">
        <v>3811.8712</v>
      </c>
      <c r="O39" s="94">
        <v>20424.4343</v>
      </c>
      <c r="Q39" s="83">
        <v>0</v>
      </c>
    </row>
    <row r="41" spans="1:17" ht="12.75">
      <c r="A41" s="78" t="s">
        <v>15</v>
      </c>
      <c r="B41" s="79">
        <v>605641.6086</v>
      </c>
      <c r="C41" s="79">
        <v>154774.6461</v>
      </c>
      <c r="D41" s="79">
        <v>46202.3117</v>
      </c>
      <c r="E41" s="79">
        <v>33644.0427</v>
      </c>
      <c r="F41" s="96">
        <v>840262.6091</v>
      </c>
      <c r="G41" s="79">
        <v>432692.91</v>
      </c>
      <c r="H41" s="79">
        <v>124618.4558</v>
      </c>
      <c r="I41" s="96">
        <v>282951.2433</v>
      </c>
      <c r="J41" s="79">
        <v>46980.2614</v>
      </c>
      <c r="K41" s="96">
        <v>329931.5048</v>
      </c>
      <c r="L41" s="79">
        <v>-10974.5273</v>
      </c>
      <c r="M41" s="96">
        <v>318956.9774</v>
      </c>
      <c r="N41" s="79">
        <v>56386.4758</v>
      </c>
      <c r="O41" s="96">
        <v>262570.5016</v>
      </c>
      <c r="P41" s="45"/>
      <c r="Q41" s="79">
        <v>130908.4222</v>
      </c>
    </row>
    <row r="42" spans="1:17" ht="12.75">
      <c r="A42" s="86"/>
      <c r="B42" s="87"/>
      <c r="C42" s="87"/>
      <c r="D42" s="87"/>
      <c r="E42" s="87"/>
      <c r="F42" s="34"/>
      <c r="G42" s="87"/>
      <c r="H42" s="87"/>
      <c r="I42" s="34"/>
      <c r="J42" s="87"/>
      <c r="K42" s="34"/>
      <c r="L42" s="87"/>
      <c r="M42" s="34"/>
      <c r="N42" s="95"/>
      <c r="O42" s="34"/>
      <c r="P42" s="6"/>
      <c r="Q42" s="87"/>
    </row>
    <row r="43" spans="1:16" ht="12.75">
      <c r="A43" s="86" t="s">
        <v>27</v>
      </c>
      <c r="F43" s="64"/>
      <c r="I43" s="64"/>
      <c r="K43" s="64"/>
      <c r="M43" s="64"/>
      <c r="O43" s="64"/>
      <c r="P43" s="6"/>
    </row>
    <row r="44" spans="1:17" ht="12.75">
      <c r="A44" s="88" t="s">
        <v>142</v>
      </c>
      <c r="B44" s="88">
        <v>13763.045</v>
      </c>
      <c r="C44" s="88">
        <v>893.2587</v>
      </c>
      <c r="D44" s="88">
        <v>1310.1561</v>
      </c>
      <c r="E44" s="88">
        <v>-682.4744</v>
      </c>
      <c r="F44" s="96">
        <v>15283.9855</v>
      </c>
      <c r="G44" s="88">
        <v>8290.9578</v>
      </c>
      <c r="H44" s="88">
        <v>3287.9708</v>
      </c>
      <c r="I44" s="96">
        <v>3705.05689999999</v>
      </c>
      <c r="J44" s="88">
        <v>0.0004</v>
      </c>
      <c r="K44" s="96">
        <v>3705.0573</v>
      </c>
      <c r="L44" s="88">
        <v>133.4248</v>
      </c>
      <c r="M44" s="96">
        <v>3838.482</v>
      </c>
      <c r="N44" s="88">
        <v>658.0483</v>
      </c>
      <c r="O44" s="96">
        <v>3180.4336</v>
      </c>
      <c r="P44" s="6"/>
      <c r="Q44" s="88">
        <v>3211.3261</v>
      </c>
    </row>
    <row r="45" spans="1:17" ht="12.75">
      <c r="A45" s="88" t="s">
        <v>141</v>
      </c>
      <c r="B45" s="88">
        <v>58664.1125</v>
      </c>
      <c r="C45" s="88">
        <v>17803.9723</v>
      </c>
      <c r="D45" s="88">
        <v>3039.9475</v>
      </c>
      <c r="E45" s="88">
        <v>214.181099999953</v>
      </c>
      <c r="F45" s="96">
        <v>79722.2132999999</v>
      </c>
      <c r="G45" s="88">
        <v>43884.2015</v>
      </c>
      <c r="H45" s="88">
        <v>9149.9564</v>
      </c>
      <c r="I45" s="96">
        <v>26688.0553999999</v>
      </c>
      <c r="J45" s="88">
        <v>9109.3168</v>
      </c>
      <c r="K45" s="96">
        <v>35797.3723</v>
      </c>
      <c r="L45" s="88">
        <v>-2134.49440000003</v>
      </c>
      <c r="M45" s="96">
        <v>33662.8777</v>
      </c>
      <c r="N45" s="88">
        <v>4671.5795</v>
      </c>
      <c r="O45" s="96">
        <v>28991.2982</v>
      </c>
      <c r="P45" s="6"/>
      <c r="Q45" s="88">
        <v>11297.5015</v>
      </c>
    </row>
    <row r="46" ht="12.75">
      <c r="A46" s="45"/>
    </row>
    <row r="47" spans="1:15" ht="12.75">
      <c r="A47" s="3" t="s">
        <v>60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ht="12.75">
      <c r="A48" s="3" t="s">
        <v>140</v>
      </c>
    </row>
    <row r="49" ht="12.75">
      <c r="A49" s="3" t="s">
        <v>245</v>
      </c>
    </row>
    <row r="51" ht="12.75">
      <c r="A51" s="3" t="s">
        <v>103</v>
      </c>
    </row>
  </sheetData>
  <mergeCells count="2">
    <mergeCell ref="A4:P4"/>
    <mergeCell ref="A3:Q3"/>
  </mergeCells>
  <hyperlinks>
    <hyperlink ref="Q1" location="Indice!A1" display="Volver"/>
  </hyperlinks>
  <printOptions horizontalCentered="1" verticalCentered="1"/>
  <pageMargins left="0.1968503937007874" right="0.1968503937007874" top="0.23" bottom="0.23" header="0" footer="0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"/>
    </sheetView>
  </sheetViews>
  <sheetFormatPr defaultColWidth="11.00390625" defaultRowHeight="12.75"/>
  <cols>
    <col min="1" max="1" width="37.125" style="3" customWidth="1"/>
    <col min="2" max="5" width="14.125" style="3" bestFit="1" customWidth="1"/>
    <col min="6" max="6" width="17.875" style="3" bestFit="1" customWidth="1"/>
    <col min="7" max="7" width="23.50390625" style="3" bestFit="1" customWidth="1"/>
    <col min="8" max="8" width="22.625" style="3" bestFit="1" customWidth="1"/>
    <col min="9" max="9" width="25.875" style="3" bestFit="1" customWidth="1"/>
    <col min="10" max="10" width="24.00390625" style="3" bestFit="1" customWidth="1"/>
    <col min="11" max="11" width="19.00390625" style="3" bestFit="1" customWidth="1"/>
    <col min="12" max="12" width="21.625" style="3" bestFit="1" customWidth="1"/>
    <col min="13" max="16384" width="12.00390625" style="3" customWidth="1"/>
  </cols>
  <sheetData>
    <row r="1" spans="1:12" ht="12.75">
      <c r="A1" s="110" t="s">
        <v>155</v>
      </c>
      <c r="L1" s="114" t="s">
        <v>162</v>
      </c>
    </row>
    <row r="2" spans="1:12" ht="12.75">
      <c r="A2" s="110" t="s">
        <v>156</v>
      </c>
      <c r="L2" s="114"/>
    </row>
    <row r="3" spans="1:12" ht="18">
      <c r="A3" s="186" t="s">
        <v>263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2.75">
      <c r="A4" s="187" t="s">
        <v>92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2.75">
      <c r="A6" s="69"/>
      <c r="B6" s="183" t="s">
        <v>150</v>
      </c>
      <c r="C6" s="184"/>
      <c r="D6" s="184"/>
      <c r="E6" s="184"/>
      <c r="F6" s="185"/>
      <c r="G6" s="183" t="s">
        <v>86</v>
      </c>
      <c r="H6" s="185"/>
      <c r="I6" s="183" t="s">
        <v>90</v>
      </c>
      <c r="J6" s="185"/>
      <c r="K6" s="183" t="s">
        <v>151</v>
      </c>
      <c r="L6" s="185"/>
    </row>
    <row r="7" spans="1:12" ht="12.75">
      <c r="A7" s="72" t="s">
        <v>20</v>
      </c>
      <c r="B7" s="183" t="s">
        <v>0</v>
      </c>
      <c r="C7" s="184"/>
      <c r="D7" s="184"/>
      <c r="E7" s="184"/>
      <c r="F7" s="185"/>
      <c r="G7" s="97" t="s">
        <v>88</v>
      </c>
      <c r="H7" s="98" t="s">
        <v>89</v>
      </c>
      <c r="I7" s="98" t="s">
        <v>109</v>
      </c>
      <c r="J7" s="98" t="s">
        <v>109</v>
      </c>
      <c r="K7" s="72" t="s">
        <v>110</v>
      </c>
      <c r="L7" s="72" t="s">
        <v>111</v>
      </c>
    </row>
    <row r="8" spans="1:12" ht="12.75">
      <c r="A8" s="74"/>
      <c r="B8" s="75" t="s">
        <v>96</v>
      </c>
      <c r="C8" s="74" t="s">
        <v>97</v>
      </c>
      <c r="D8" s="74" t="s">
        <v>95</v>
      </c>
      <c r="E8" s="74" t="s">
        <v>36</v>
      </c>
      <c r="F8" s="74" t="s">
        <v>106</v>
      </c>
      <c r="G8" s="75" t="s">
        <v>87</v>
      </c>
      <c r="H8" s="74" t="s">
        <v>87</v>
      </c>
      <c r="I8" s="74" t="s">
        <v>113</v>
      </c>
      <c r="J8" s="74" t="s">
        <v>112</v>
      </c>
      <c r="K8" s="74"/>
      <c r="L8" s="74"/>
    </row>
    <row r="9" spans="2:10" ht="12.75">
      <c r="B9" s="77"/>
      <c r="C9" s="77"/>
      <c r="D9" s="77"/>
      <c r="E9" s="77"/>
      <c r="F9" s="77"/>
      <c r="G9" s="77"/>
      <c r="H9" s="77"/>
      <c r="I9" s="77"/>
      <c r="J9" s="77"/>
    </row>
    <row r="10" spans="1:12" ht="12.75">
      <c r="A10" s="78" t="s">
        <v>16</v>
      </c>
      <c r="B10" s="99">
        <v>13.1916185488583</v>
      </c>
      <c r="C10" s="99">
        <v>9.6083653813829</v>
      </c>
      <c r="D10" s="99">
        <v>23.4571894076139</v>
      </c>
      <c r="E10" s="99">
        <v>20.5249210551777</v>
      </c>
      <c r="F10" s="99">
        <v>25.4741730642785</v>
      </c>
      <c r="G10" s="99">
        <v>1.86553932429165</v>
      </c>
      <c r="H10" s="99">
        <v>1.24020719733227</v>
      </c>
      <c r="I10" s="99">
        <v>49.7162107785144</v>
      </c>
      <c r="J10" s="99">
        <v>2.09768790111267</v>
      </c>
      <c r="K10" s="165">
        <v>23.1873791821431</v>
      </c>
      <c r="L10" s="166">
        <v>20.1713143141409</v>
      </c>
    </row>
    <row r="11" spans="1:12" ht="12.75">
      <c r="A11" s="81" t="s">
        <v>28</v>
      </c>
      <c r="B11" s="100">
        <v>-10.1850552182061</v>
      </c>
      <c r="C11" s="100">
        <v>-10.2397475910557</v>
      </c>
      <c r="D11" s="100">
        <v>0.437299632168631</v>
      </c>
      <c r="E11" s="100">
        <v>-26.8277026206858</v>
      </c>
      <c r="F11" s="100">
        <v>1.94356273110972</v>
      </c>
      <c r="G11" s="100">
        <v>0.989999963296239</v>
      </c>
      <c r="H11" s="100">
        <v>1.10297651976877</v>
      </c>
      <c r="I11" s="100">
        <v>75.5561455215786</v>
      </c>
      <c r="J11" s="100">
        <v>1.99790754890009</v>
      </c>
      <c r="K11" s="167">
        <v>3.92112084342416</v>
      </c>
      <c r="L11" s="168">
        <v>3.18040241068485</v>
      </c>
    </row>
    <row r="12" spans="1:12" ht="12.75">
      <c r="A12" s="82" t="s">
        <v>25</v>
      </c>
      <c r="B12" s="101">
        <v>14.0255470023651</v>
      </c>
      <c r="C12" s="101">
        <v>15.2678488765126</v>
      </c>
      <c r="D12" s="101">
        <v>11.6750036041224</v>
      </c>
      <c r="E12" s="101">
        <v>0.0876872718958754</v>
      </c>
      <c r="F12" s="101">
        <v>16.1867909588002</v>
      </c>
      <c r="G12" s="101">
        <v>1.90378025175754</v>
      </c>
      <c r="H12" s="101">
        <v>1.82147614798291</v>
      </c>
      <c r="I12" s="101">
        <v>61.2686697118232</v>
      </c>
      <c r="J12" s="101">
        <v>1.95555298963436</v>
      </c>
      <c r="K12" s="169">
        <v>14.7615531210578</v>
      </c>
      <c r="L12" s="170">
        <v>13.0780252161933</v>
      </c>
    </row>
    <row r="13" spans="1:12" ht="12.75">
      <c r="A13" s="82" t="s">
        <v>5</v>
      </c>
      <c r="B13" s="101">
        <v>12.4465636317389</v>
      </c>
      <c r="C13" s="101">
        <v>13.9821724371886</v>
      </c>
      <c r="D13" s="101">
        <v>1.2026403400264</v>
      </c>
      <c r="E13" s="101">
        <v>5.97285796054541</v>
      </c>
      <c r="F13" s="101">
        <v>-0.400417798244579</v>
      </c>
      <c r="G13" s="101">
        <v>1.21075634612219</v>
      </c>
      <c r="H13" s="101">
        <v>0.425891916904514</v>
      </c>
      <c r="I13" s="101">
        <v>74.1409605406356</v>
      </c>
      <c r="J13" s="101">
        <v>1.54574675239805</v>
      </c>
      <c r="K13" s="169">
        <v>12.5459725189146</v>
      </c>
      <c r="L13" s="170">
        <v>11.6231122621796</v>
      </c>
    </row>
    <row r="14" spans="1:12" ht="12.75">
      <c r="A14" s="82" t="s">
        <v>6</v>
      </c>
      <c r="B14" s="101">
        <v>20.0049554706017</v>
      </c>
      <c r="C14" s="101">
        <v>17.4068497558319</v>
      </c>
      <c r="D14" s="101">
        <v>32.8791492850161</v>
      </c>
      <c r="E14" s="101">
        <v>19.7311353621783</v>
      </c>
      <c r="F14" s="101">
        <v>61.3381513474141</v>
      </c>
      <c r="G14" s="101">
        <v>1.62674485102936</v>
      </c>
      <c r="H14" s="101">
        <v>0.878104799300732</v>
      </c>
      <c r="I14" s="101">
        <v>42.3962762793766</v>
      </c>
      <c r="J14" s="101">
        <v>1.50782877020936</v>
      </c>
      <c r="K14" s="169">
        <v>15.2001379089501</v>
      </c>
      <c r="L14" s="170">
        <v>12.6975408311607</v>
      </c>
    </row>
    <row r="15" spans="1:12" ht="12.75">
      <c r="A15" s="82" t="s">
        <v>7</v>
      </c>
      <c r="B15" s="101">
        <v>10.8698783366255</v>
      </c>
      <c r="C15" s="101">
        <v>8.00276036181271</v>
      </c>
      <c r="D15" s="101">
        <v>19.4808993322659</v>
      </c>
      <c r="E15" s="101">
        <v>16.7466813196928</v>
      </c>
      <c r="F15" s="101">
        <v>21.2999415920018</v>
      </c>
      <c r="G15" s="101">
        <v>1.98079749302447</v>
      </c>
      <c r="H15" s="101">
        <v>1.24835281384663</v>
      </c>
      <c r="I15" s="101">
        <v>48.2304342271226</v>
      </c>
      <c r="J15" s="101">
        <v>2.12312007581185</v>
      </c>
      <c r="K15" s="169">
        <v>35.9785943992241</v>
      </c>
      <c r="L15" s="170">
        <v>33.1302884733078</v>
      </c>
    </row>
    <row r="16" spans="1:12" ht="12.75">
      <c r="A16" s="82" t="s">
        <v>144</v>
      </c>
      <c r="B16" s="102">
        <v>19.1670558150938</v>
      </c>
      <c r="C16" s="102">
        <v>16.9117555186083</v>
      </c>
      <c r="D16" s="102">
        <v>25.5363757888436</v>
      </c>
      <c r="E16" s="102">
        <v>17.3558360099318</v>
      </c>
      <c r="F16" s="102">
        <v>32.4006217874707</v>
      </c>
      <c r="G16" s="101">
        <v>1.76559332286069</v>
      </c>
      <c r="H16" s="101">
        <v>1.09220917677868</v>
      </c>
      <c r="I16" s="101">
        <v>54.9209844346714</v>
      </c>
      <c r="J16" s="101">
        <v>2.36270610164537</v>
      </c>
      <c r="K16" s="169">
        <v>26.8530607095071</v>
      </c>
      <c r="L16" s="170">
        <v>22.6831026745523</v>
      </c>
    </row>
    <row r="17" spans="1:12" ht="12.75">
      <c r="A17" s="82" t="s">
        <v>8</v>
      </c>
      <c r="B17" s="101">
        <v>14.526475402526</v>
      </c>
      <c r="C17" s="101">
        <v>17.1493212056695</v>
      </c>
      <c r="D17" s="101">
        <v>4.15259864739388</v>
      </c>
      <c r="E17" s="101">
        <v>9.40627877010385</v>
      </c>
      <c r="F17" s="101">
        <v>3.43977571692082</v>
      </c>
      <c r="G17" s="101">
        <v>2.73823013782236</v>
      </c>
      <c r="H17" s="101">
        <v>1.6240479786018</v>
      </c>
      <c r="I17" s="101">
        <v>49.6955730304143</v>
      </c>
      <c r="J17" s="101">
        <v>2.45679146562395</v>
      </c>
      <c r="K17" s="169">
        <v>14.375066317146</v>
      </c>
      <c r="L17" s="170">
        <v>12.4033345077672</v>
      </c>
    </row>
    <row r="18" spans="1:12" ht="12.75">
      <c r="A18" s="82" t="s">
        <v>31</v>
      </c>
      <c r="B18" s="101">
        <v>-80.9051410028834</v>
      </c>
      <c r="C18" s="101">
        <v>-80.9051410028834</v>
      </c>
      <c r="D18" s="102" t="s">
        <v>258</v>
      </c>
      <c r="E18" s="102" t="s">
        <v>258</v>
      </c>
      <c r="F18" s="102" t="s">
        <v>258</v>
      </c>
      <c r="G18" s="101">
        <v>0.999998890910555</v>
      </c>
      <c r="H18" s="101">
        <v>0</v>
      </c>
      <c r="I18" s="101">
        <v>31.4910412167024</v>
      </c>
      <c r="J18" s="101">
        <v>0.750920914252591</v>
      </c>
      <c r="K18" s="169">
        <v>14.2767691150906</v>
      </c>
      <c r="L18" s="170">
        <v>11.9200450074002</v>
      </c>
    </row>
    <row r="19" spans="1:12" ht="12.75">
      <c r="A19" s="82" t="s">
        <v>11</v>
      </c>
      <c r="B19" s="101">
        <v>24.3597496475629</v>
      </c>
      <c r="C19" s="101">
        <v>126.261973397865</v>
      </c>
      <c r="D19" s="101">
        <v>21.9624996449063</v>
      </c>
      <c r="E19" s="101">
        <v>16.978164498202</v>
      </c>
      <c r="F19" s="101">
        <v>48.112430580474</v>
      </c>
      <c r="G19" s="101">
        <v>3.22272191331483</v>
      </c>
      <c r="H19" s="101">
        <v>0.222233503065342</v>
      </c>
      <c r="I19" s="101">
        <v>43.2831273539893</v>
      </c>
      <c r="J19" s="101">
        <v>5.20568137686353</v>
      </c>
      <c r="K19" s="169">
        <v>38.9289473745039</v>
      </c>
      <c r="L19" s="170">
        <v>31.9428997147446</v>
      </c>
    </row>
    <row r="20" spans="1:12" ht="12.75">
      <c r="A20" s="82" t="s">
        <v>24</v>
      </c>
      <c r="B20" s="101">
        <v>30.387212873251</v>
      </c>
      <c r="C20" s="101">
        <v>30.3872127848429</v>
      </c>
      <c r="D20" s="102" t="s">
        <v>258</v>
      </c>
      <c r="E20" s="102" t="s">
        <v>258</v>
      </c>
      <c r="F20" s="102" t="s">
        <v>258</v>
      </c>
      <c r="G20" s="101">
        <v>2.59698619386099</v>
      </c>
      <c r="H20" s="101">
        <v>1.54404423311382</v>
      </c>
      <c r="I20" s="101">
        <v>98.1382063783539</v>
      </c>
      <c r="J20" s="101">
        <v>5.94095420537718</v>
      </c>
      <c r="K20" s="169">
        <v>-6.0932367873353</v>
      </c>
      <c r="L20" s="170">
        <v>-3.53274794327048</v>
      </c>
    </row>
    <row r="21" spans="1:12" ht="12.75">
      <c r="A21" s="82" t="s">
        <v>29</v>
      </c>
      <c r="B21" s="101">
        <v>28.4970276701859</v>
      </c>
      <c r="C21" s="101">
        <v>28.5129722545711</v>
      </c>
      <c r="D21" s="101">
        <v>-3.04879200818584</v>
      </c>
      <c r="E21" s="101">
        <v>-3.04879200818584</v>
      </c>
      <c r="F21" s="102" t="s">
        <v>258</v>
      </c>
      <c r="G21" s="101">
        <v>0.589195839862729</v>
      </c>
      <c r="H21" s="101">
        <v>0.01043645039268</v>
      </c>
      <c r="I21" s="101">
        <v>71.3506825207584</v>
      </c>
      <c r="J21" s="101">
        <v>1.17933791106862</v>
      </c>
      <c r="K21" s="169">
        <v>4.14089599481118</v>
      </c>
      <c r="L21" s="170">
        <v>3.43376272160036</v>
      </c>
    </row>
    <row r="22" spans="1:12" ht="12.75">
      <c r="A22" s="82" t="s">
        <v>9</v>
      </c>
      <c r="B22" s="101">
        <v>-2.24580888979072</v>
      </c>
      <c r="C22" s="101">
        <v>-1.9579428141874</v>
      </c>
      <c r="D22" s="101">
        <v>-26.0226434253662</v>
      </c>
      <c r="E22" s="101">
        <v>-26.8226559173155</v>
      </c>
      <c r="F22" s="101">
        <v>-25.7433543028644</v>
      </c>
      <c r="G22" s="101">
        <v>2.02279751699631</v>
      </c>
      <c r="H22" s="101">
        <v>1.93581026582097</v>
      </c>
      <c r="I22" s="101">
        <v>69.7608301045102</v>
      </c>
      <c r="J22" s="101">
        <v>3.64436693024397</v>
      </c>
      <c r="K22" s="169">
        <v>14.6707773545392</v>
      </c>
      <c r="L22" s="170">
        <v>12.998548211848</v>
      </c>
    </row>
    <row r="23" spans="1:12" ht="12.75">
      <c r="A23" s="82" t="s">
        <v>26</v>
      </c>
      <c r="B23" s="101">
        <v>97.0497786087177</v>
      </c>
      <c r="C23" s="101">
        <v>97.0497770860979</v>
      </c>
      <c r="D23" s="102" t="s">
        <v>258</v>
      </c>
      <c r="E23" s="102" t="s">
        <v>258</v>
      </c>
      <c r="F23" s="102" t="s">
        <v>258</v>
      </c>
      <c r="G23" s="101">
        <v>1.61863915033171</v>
      </c>
      <c r="H23" s="101">
        <v>0</v>
      </c>
      <c r="I23" s="101">
        <v>118.689861255055</v>
      </c>
      <c r="J23" s="101">
        <v>3.21582583627687</v>
      </c>
      <c r="K23" s="169">
        <v>3.65248836396251</v>
      </c>
      <c r="L23" s="170">
        <v>3.43795170384242</v>
      </c>
    </row>
    <row r="24" spans="1:12" ht="12.75">
      <c r="A24" s="82" t="s">
        <v>107</v>
      </c>
      <c r="B24" s="102" t="s">
        <v>258</v>
      </c>
      <c r="C24" s="102" t="s">
        <v>258</v>
      </c>
      <c r="D24" s="102" t="s">
        <v>258</v>
      </c>
      <c r="E24" s="102" t="s">
        <v>258</v>
      </c>
      <c r="F24" s="102" t="s">
        <v>258</v>
      </c>
      <c r="G24" s="101">
        <v>3.98678282906909</v>
      </c>
      <c r="H24" s="101">
        <v>0.342456305777352</v>
      </c>
      <c r="I24" s="101">
        <v>49.2916702688475</v>
      </c>
      <c r="J24" s="101">
        <v>9.60567506847987</v>
      </c>
      <c r="K24" s="169">
        <v>40.3160048791654</v>
      </c>
      <c r="L24" s="170">
        <v>33.4622667317441</v>
      </c>
    </row>
    <row r="25" spans="1:12" ht="12.75">
      <c r="A25" s="82" t="s">
        <v>30</v>
      </c>
      <c r="B25" s="102" t="s">
        <v>258</v>
      </c>
      <c r="C25" s="102" t="s">
        <v>258</v>
      </c>
      <c r="D25" s="102" t="s">
        <v>258</v>
      </c>
      <c r="E25" s="102" t="s">
        <v>258</v>
      </c>
      <c r="F25" s="102" t="s">
        <v>258</v>
      </c>
      <c r="G25" s="101">
        <v>0</v>
      </c>
      <c r="H25" s="101">
        <v>0</v>
      </c>
      <c r="I25" s="101">
        <v>330.667508025288</v>
      </c>
      <c r="J25" s="101">
        <v>10.3695085941962</v>
      </c>
      <c r="K25" s="169">
        <v>-26.6727960335901</v>
      </c>
      <c r="L25" s="170">
        <v>-22.3649816168099</v>
      </c>
    </row>
    <row r="26" spans="1:12" ht="12.75">
      <c r="A26" s="82" t="s">
        <v>22</v>
      </c>
      <c r="B26" s="101">
        <v>105.363405710602</v>
      </c>
      <c r="C26" s="101">
        <v>144.924534679562</v>
      </c>
      <c r="D26" s="101">
        <v>100.871686736878</v>
      </c>
      <c r="E26" s="101">
        <v>103.121903281859</v>
      </c>
      <c r="F26" s="101">
        <v>86.906505297773</v>
      </c>
      <c r="G26" s="101">
        <v>2.51088194772944</v>
      </c>
      <c r="H26" s="101">
        <v>0.101311004312107</v>
      </c>
      <c r="I26" s="101">
        <v>70.4418276828298</v>
      </c>
      <c r="J26" s="101">
        <v>8.04601667716724</v>
      </c>
      <c r="K26" s="169">
        <v>12.9130431487477</v>
      </c>
      <c r="L26" s="170">
        <v>12.9130431487477</v>
      </c>
    </row>
    <row r="27" spans="1:12" ht="12.75">
      <c r="A27" s="82" t="s">
        <v>10</v>
      </c>
      <c r="B27" s="101">
        <v>11.4003721451543</v>
      </c>
      <c r="C27" s="101">
        <v>5.39931279273234</v>
      </c>
      <c r="D27" s="101">
        <v>25.3266056805549</v>
      </c>
      <c r="E27" s="101">
        <v>16.401584230278</v>
      </c>
      <c r="F27" s="101">
        <v>31.5669725396812</v>
      </c>
      <c r="G27" s="101">
        <v>1.83990669752965</v>
      </c>
      <c r="H27" s="101">
        <v>1.32127171683552</v>
      </c>
      <c r="I27" s="101">
        <v>42.0533832287006</v>
      </c>
      <c r="J27" s="101">
        <v>1.99199434445903</v>
      </c>
      <c r="K27" s="169">
        <v>30.9037938309937</v>
      </c>
      <c r="L27" s="170">
        <v>26.1179715975932</v>
      </c>
    </row>
    <row r="28" spans="1:12" ht="12.75">
      <c r="A28" s="82" t="s">
        <v>32</v>
      </c>
      <c r="B28" s="101">
        <v>25.100090018283</v>
      </c>
      <c r="C28" s="101">
        <v>25.0225140035315</v>
      </c>
      <c r="D28" s="101">
        <v>26.0139472975378</v>
      </c>
      <c r="E28" s="101">
        <v>30.2573554343049</v>
      </c>
      <c r="F28" s="101">
        <v>24.8502431188453</v>
      </c>
      <c r="G28" s="101">
        <v>1.42769727862988</v>
      </c>
      <c r="H28" s="101">
        <v>0.727322434632826</v>
      </c>
      <c r="I28" s="101">
        <v>47.4514173951067</v>
      </c>
      <c r="J28" s="101">
        <v>1.57121509441469</v>
      </c>
      <c r="K28" s="169">
        <v>18.6229318269937</v>
      </c>
      <c r="L28" s="170">
        <v>16.7962889486788</v>
      </c>
    </row>
    <row r="29" spans="1:12" ht="12.75">
      <c r="A29" s="83" t="s">
        <v>21</v>
      </c>
      <c r="B29" s="103">
        <v>-2.10243024223735</v>
      </c>
      <c r="C29" s="103">
        <v>-12.0917809978073</v>
      </c>
      <c r="D29" s="103">
        <v>22.464988842877</v>
      </c>
      <c r="E29" s="103">
        <v>20.5834254273569</v>
      </c>
      <c r="F29" s="103">
        <v>23.2147428416696</v>
      </c>
      <c r="G29" s="103">
        <v>1.82180091802359</v>
      </c>
      <c r="H29" s="103">
        <v>1.81722720194926</v>
      </c>
      <c r="I29" s="103">
        <v>66.8730797433469</v>
      </c>
      <c r="J29" s="103">
        <v>2.1723335242253</v>
      </c>
      <c r="K29" s="171">
        <v>11.0792741220371</v>
      </c>
      <c r="L29" s="172">
        <v>9.89572815292093</v>
      </c>
    </row>
    <row r="30" spans="3:12" ht="12.75">
      <c r="C30" s="104"/>
      <c r="D30" s="104"/>
      <c r="E30" s="104"/>
      <c r="F30" s="104"/>
      <c r="G30" s="104"/>
      <c r="H30" s="104"/>
      <c r="I30" s="104"/>
      <c r="J30" s="104"/>
      <c r="K30" s="173"/>
      <c r="L30" s="174"/>
    </row>
    <row r="31" spans="1:12" ht="12.75">
      <c r="A31" s="79" t="s">
        <v>154</v>
      </c>
      <c r="B31" s="99">
        <v>15.8810504257877</v>
      </c>
      <c r="C31" s="99">
        <v>21.2720792636402</v>
      </c>
      <c r="D31" s="99">
        <v>10.7271318687233</v>
      </c>
      <c r="E31" s="99">
        <v>14.9631169732323</v>
      </c>
      <c r="F31" s="99">
        <v>9.62228206800995</v>
      </c>
      <c r="G31" s="99">
        <v>1.7035962064585</v>
      </c>
      <c r="H31" s="99">
        <v>0.832818091490959</v>
      </c>
      <c r="I31" s="99">
        <v>59.5980791415635</v>
      </c>
      <c r="J31" s="99">
        <v>2.37809302426168</v>
      </c>
      <c r="K31" s="166">
        <v>23.4966011381667</v>
      </c>
      <c r="L31" s="166">
        <v>10.4451471187266</v>
      </c>
    </row>
    <row r="32" spans="3:12" ht="12.75">
      <c r="C32" s="104"/>
      <c r="D32" s="104"/>
      <c r="E32" s="104"/>
      <c r="F32" s="104"/>
      <c r="G32" s="104"/>
      <c r="H32" s="104"/>
      <c r="I32" s="104"/>
      <c r="J32" s="104"/>
      <c r="K32" s="173"/>
      <c r="L32" s="174"/>
    </row>
    <row r="33" spans="1:12" ht="12.75">
      <c r="A33" s="79" t="s">
        <v>23</v>
      </c>
      <c r="B33" s="99">
        <v>3.96892096913284</v>
      </c>
      <c r="C33" s="99">
        <v>4.31872281883439</v>
      </c>
      <c r="D33" s="99">
        <v>3.37428633350469</v>
      </c>
      <c r="E33" s="99">
        <v>10.6230250274082</v>
      </c>
      <c r="F33" s="99">
        <v>-7.27903384223645</v>
      </c>
      <c r="G33" s="99">
        <v>2.23151623596003</v>
      </c>
      <c r="H33" s="99">
        <v>1.05660150751825</v>
      </c>
      <c r="I33" s="99">
        <v>53.8406418026521</v>
      </c>
      <c r="J33" s="99">
        <v>3.74986589897596</v>
      </c>
      <c r="K33" s="166">
        <v>21.9682877702815</v>
      </c>
      <c r="L33" s="166">
        <v>18.3895833891329</v>
      </c>
    </row>
    <row r="34" spans="1:12" ht="12.75">
      <c r="A34" s="82" t="s">
        <v>34</v>
      </c>
      <c r="B34" s="101">
        <v>12.5141735339751</v>
      </c>
      <c r="C34" s="101">
        <v>13.0554380650437</v>
      </c>
      <c r="D34" s="101">
        <v>11.7211085739941</v>
      </c>
      <c r="E34" s="101">
        <v>18.3007271025397</v>
      </c>
      <c r="F34" s="101">
        <v>6.63460627761081</v>
      </c>
      <c r="G34" s="101">
        <v>2.09728340973214</v>
      </c>
      <c r="H34" s="101">
        <v>1.23547616586992</v>
      </c>
      <c r="I34" s="101">
        <v>60.8792732888106</v>
      </c>
      <c r="J34" s="101">
        <v>3.01563977032066</v>
      </c>
      <c r="K34" s="167">
        <v>21.4635325731426</v>
      </c>
      <c r="L34" s="170">
        <v>18.9043468763967</v>
      </c>
    </row>
    <row r="35" spans="1:12" ht="12.75">
      <c r="A35" s="82" t="s">
        <v>12</v>
      </c>
      <c r="B35" s="101">
        <v>-2.46262855241036</v>
      </c>
      <c r="C35" s="101">
        <v>-1.05622031559947</v>
      </c>
      <c r="D35" s="101">
        <v>-4.85994427222887</v>
      </c>
      <c r="E35" s="101">
        <v>6.24039313038289</v>
      </c>
      <c r="F35" s="101">
        <v>-38.5300258134693</v>
      </c>
      <c r="G35" s="101">
        <v>2.49671222697826</v>
      </c>
      <c r="H35" s="101">
        <v>0.950416154589748</v>
      </c>
      <c r="I35" s="101">
        <v>84.0410852705067</v>
      </c>
      <c r="J35" s="101">
        <v>4.90933252412881</v>
      </c>
      <c r="K35" s="169">
        <v>7.26723014929875</v>
      </c>
      <c r="L35" s="170">
        <v>5.45515315300512</v>
      </c>
    </row>
    <row r="36" spans="1:12" ht="12.75">
      <c r="A36" s="82" t="s">
        <v>14</v>
      </c>
      <c r="B36" s="101">
        <v>-13.5890973295178</v>
      </c>
      <c r="C36" s="101">
        <v>-13.5426633200673</v>
      </c>
      <c r="D36" s="101">
        <v>-25.5011325862063</v>
      </c>
      <c r="E36" s="101">
        <v>-25.5011325862063</v>
      </c>
      <c r="F36" s="102" t="s">
        <v>258</v>
      </c>
      <c r="G36" s="101">
        <v>0.383536234316302</v>
      </c>
      <c r="H36" s="101">
        <v>0.114411733445458</v>
      </c>
      <c r="I36" s="101">
        <v>45.6910751831547</v>
      </c>
      <c r="J36" s="101">
        <v>4.21777986222979</v>
      </c>
      <c r="K36" s="169">
        <v>-1.69415786672672</v>
      </c>
      <c r="L36" s="170">
        <v>-1.69415786672672</v>
      </c>
    </row>
    <row r="37" spans="1:12" ht="12.75">
      <c r="A37" s="82" t="s">
        <v>13</v>
      </c>
      <c r="B37" s="101">
        <v>-14.730037198169</v>
      </c>
      <c r="C37" s="101">
        <v>-14.7225885327759</v>
      </c>
      <c r="D37" s="101">
        <v>-23.4132005266009</v>
      </c>
      <c r="E37" s="101">
        <v>-23.4132005266009</v>
      </c>
      <c r="F37" s="102" t="s">
        <v>258</v>
      </c>
      <c r="G37" s="101">
        <v>0.899738865291473</v>
      </c>
      <c r="H37" s="101">
        <v>0</v>
      </c>
      <c r="I37" s="101">
        <v>134.989226203697</v>
      </c>
      <c r="J37" s="101">
        <v>6.43997534198814</v>
      </c>
      <c r="K37" s="169">
        <v>-2.35552596160577</v>
      </c>
      <c r="L37" s="170">
        <v>-2.35590911866702</v>
      </c>
    </row>
    <row r="38" spans="1:12" ht="12.75">
      <c r="A38" s="82" t="s">
        <v>35</v>
      </c>
      <c r="B38" s="101">
        <v>4.54286979626723</v>
      </c>
      <c r="C38" s="101">
        <v>4.54286982550507</v>
      </c>
      <c r="D38" s="102" t="s">
        <v>258</v>
      </c>
      <c r="E38" s="102" t="s">
        <v>258</v>
      </c>
      <c r="F38" s="102" t="s">
        <v>258</v>
      </c>
      <c r="G38" s="101">
        <v>0.358813259982623</v>
      </c>
      <c r="H38" s="101">
        <v>0</v>
      </c>
      <c r="I38" s="101">
        <v>47.2597401005721</v>
      </c>
      <c r="J38" s="101">
        <v>2.46140336177784</v>
      </c>
      <c r="K38" s="169">
        <v>10.3047940846555</v>
      </c>
      <c r="L38" s="170">
        <v>10.3047940846555</v>
      </c>
    </row>
    <row r="39" spans="1:12" ht="12.75">
      <c r="A39" s="83" t="s">
        <v>33</v>
      </c>
      <c r="B39" s="103">
        <v>-99.6045281981945</v>
      </c>
      <c r="C39" s="103">
        <v>-99.6045281810365</v>
      </c>
      <c r="D39" s="105" t="s">
        <v>258</v>
      </c>
      <c r="E39" s="105" t="s">
        <v>258</v>
      </c>
      <c r="F39" s="105" t="s">
        <v>258</v>
      </c>
      <c r="G39" s="103">
        <v>0</v>
      </c>
      <c r="H39" s="103">
        <v>0</v>
      </c>
      <c r="I39" s="103">
        <v>5.96430527056021</v>
      </c>
      <c r="J39" s="103">
        <v>1.08748411667547</v>
      </c>
      <c r="K39" s="171">
        <v>58.2631311774949</v>
      </c>
      <c r="L39" s="172">
        <v>49.0995415921404</v>
      </c>
    </row>
    <row r="40" spans="3:12" ht="12.75">
      <c r="C40" s="104"/>
      <c r="D40" s="104"/>
      <c r="E40" s="104"/>
      <c r="F40" s="104"/>
      <c r="G40" s="104"/>
      <c r="H40" s="104"/>
      <c r="I40" s="104"/>
      <c r="J40" s="104"/>
      <c r="K40" s="173"/>
      <c r="L40" s="174"/>
    </row>
    <row r="41" spans="1:12" ht="12.75">
      <c r="A41" s="78" t="s">
        <v>15</v>
      </c>
      <c r="B41" s="99">
        <v>13.089740638322</v>
      </c>
      <c r="C41" s="99">
        <v>10.4378020857519</v>
      </c>
      <c r="D41" s="99">
        <v>19.3572940821206</v>
      </c>
      <c r="E41" s="99">
        <v>18.864526164947</v>
      </c>
      <c r="F41" s="99">
        <v>19.6514888096545</v>
      </c>
      <c r="G41" s="99">
        <v>1.86037021841707</v>
      </c>
      <c r="H41" s="99">
        <v>1.1772041688125</v>
      </c>
      <c r="I41" s="99">
        <v>51.4949618504927</v>
      </c>
      <c r="J41" s="99">
        <v>2.24252285839087</v>
      </c>
      <c r="K41" s="166">
        <v>23.0659637187281</v>
      </c>
      <c r="L41" s="166">
        <v>18.9882714367416</v>
      </c>
    </row>
    <row r="42" spans="1:12" ht="12.75">
      <c r="A42" s="86"/>
      <c r="B42" s="87"/>
      <c r="C42" s="106"/>
      <c r="D42" s="106"/>
      <c r="E42" s="106"/>
      <c r="F42" s="106"/>
      <c r="G42" s="106"/>
      <c r="H42" s="106"/>
      <c r="I42" s="106"/>
      <c r="J42" s="106"/>
      <c r="K42" s="173"/>
      <c r="L42" s="175"/>
    </row>
    <row r="43" spans="1:12" ht="12.75">
      <c r="A43" s="86" t="s">
        <v>27</v>
      </c>
      <c r="B43" s="87"/>
      <c r="C43" s="106"/>
      <c r="D43" s="106"/>
      <c r="E43" s="106"/>
      <c r="F43" s="106"/>
      <c r="G43" s="106"/>
      <c r="H43" s="106"/>
      <c r="I43" s="106"/>
      <c r="J43" s="106"/>
      <c r="K43" s="173"/>
      <c r="L43" s="175"/>
    </row>
    <row r="44" spans="1:12" ht="12.75">
      <c r="A44" s="88" t="s">
        <v>147</v>
      </c>
      <c r="B44" s="107">
        <v>15.3414758318886</v>
      </c>
      <c r="C44" s="107">
        <v>11.298301713347</v>
      </c>
      <c r="D44" s="107">
        <v>15.4989047299473</v>
      </c>
      <c r="E44" s="107">
        <v>15.4989047299473</v>
      </c>
      <c r="F44" s="108" t="s">
        <v>258</v>
      </c>
      <c r="G44" s="107">
        <v>6.69374382472245</v>
      </c>
      <c r="H44" s="107">
        <v>0.458845483736003</v>
      </c>
      <c r="I44" s="107">
        <v>54.246045967526</v>
      </c>
      <c r="J44" s="107">
        <v>13.230243687393</v>
      </c>
      <c r="K44" s="167">
        <v>48.3894187907489</v>
      </c>
      <c r="L44" s="176">
        <v>40.0938009886641</v>
      </c>
    </row>
    <row r="45" spans="1:12" ht="12.75">
      <c r="A45" s="88" t="s">
        <v>148</v>
      </c>
      <c r="B45" s="107">
        <v>19.3167592549979</v>
      </c>
      <c r="C45" s="107">
        <v>16.9225039298119</v>
      </c>
      <c r="D45" s="107">
        <v>27.151615859189</v>
      </c>
      <c r="E45" s="107">
        <v>18.1661845876099</v>
      </c>
      <c r="F45" s="107">
        <v>32.4006217874707</v>
      </c>
      <c r="G45" s="107">
        <v>1.57916902905445</v>
      </c>
      <c r="H45" s="107">
        <v>1.11616834315981</v>
      </c>
      <c r="I45" s="107">
        <v>55.0463913173871</v>
      </c>
      <c r="J45" s="107">
        <v>2.03620740186559</v>
      </c>
      <c r="K45" s="176">
        <v>26.3381965830698</v>
      </c>
      <c r="L45" s="176">
        <v>22.6831026745523</v>
      </c>
    </row>
    <row r="46" ht="12.75">
      <c r="A46" s="45"/>
    </row>
    <row r="47" spans="1:12" ht="12.75">
      <c r="A47" s="3" t="s">
        <v>60</v>
      </c>
      <c r="B47" s="45"/>
      <c r="C47" s="45"/>
      <c r="D47" s="45"/>
      <c r="E47" s="45"/>
      <c r="F47" s="45"/>
      <c r="G47" s="45"/>
      <c r="H47" s="45"/>
      <c r="I47" s="45"/>
      <c r="J47" s="45"/>
      <c r="K47" s="109"/>
      <c r="L47" s="109"/>
    </row>
    <row r="48" ht="12.75">
      <c r="A48" s="3" t="s">
        <v>140</v>
      </c>
    </row>
    <row r="49" ht="12.75">
      <c r="A49" s="3" t="s">
        <v>245</v>
      </c>
    </row>
    <row r="50" ht="12.75">
      <c r="A50" s="3" t="s">
        <v>149</v>
      </c>
    </row>
    <row r="51" ht="12.75">
      <c r="A51" s="3" t="s">
        <v>152</v>
      </c>
    </row>
    <row r="52" ht="12.75">
      <c r="A52" s="3" t="s">
        <v>153</v>
      </c>
    </row>
    <row r="54" ht="12.75">
      <c r="A54" s="3" t="s">
        <v>103</v>
      </c>
    </row>
  </sheetData>
  <mergeCells count="7">
    <mergeCell ref="B7:F7"/>
    <mergeCell ref="A3:L3"/>
    <mergeCell ref="A4:L4"/>
    <mergeCell ref="K6:L6"/>
    <mergeCell ref="B6:F6"/>
    <mergeCell ref="G6:H6"/>
    <mergeCell ref="I6:J6"/>
  </mergeCells>
  <hyperlinks>
    <hyperlink ref="L1" location="Indice!A1" display="Volver"/>
  </hyperlinks>
  <printOptions horizontalCentered="1" verticalCentered="1"/>
  <pageMargins left="0.15748031496062992" right="0.15748031496062992" top="0.2755905511811024" bottom="0.1968503937007874" header="0.2755905511811024" footer="0"/>
  <pageSetup fitToHeight="1" fitToWidth="1" horizontalDpi="600" verticalDpi="600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1" sqref="A1"/>
    </sheetView>
  </sheetViews>
  <sheetFormatPr defaultColWidth="11.00390625" defaultRowHeight="12.75"/>
  <cols>
    <col min="1" max="1" width="69.375" style="3" bestFit="1" customWidth="1"/>
    <col min="2" max="2" width="28.875" style="3" bestFit="1" customWidth="1"/>
    <col min="3" max="16384" width="12.00390625" style="3" customWidth="1"/>
  </cols>
  <sheetData>
    <row r="1" spans="1:7" ht="12.75">
      <c r="A1" s="110" t="s">
        <v>155</v>
      </c>
      <c r="G1" s="114" t="s">
        <v>162</v>
      </c>
    </row>
    <row r="2" ht="12.75">
      <c r="A2" s="110" t="s">
        <v>156</v>
      </c>
    </row>
    <row r="3" ht="12.75">
      <c r="A3" s="110"/>
    </row>
    <row r="4" ht="12.75">
      <c r="A4" s="110"/>
    </row>
    <row r="5" ht="12.75">
      <c r="A5" s="110"/>
    </row>
    <row r="6" ht="12.75">
      <c r="A6" s="110"/>
    </row>
    <row r="7" ht="12.75">
      <c r="A7" s="110"/>
    </row>
    <row r="8" ht="15.75">
      <c r="A8" s="111" t="s">
        <v>114</v>
      </c>
    </row>
    <row r="10" spans="1:2" ht="12.75">
      <c r="A10" s="116" t="s">
        <v>166</v>
      </c>
      <c r="B10" s="116" t="s">
        <v>167</v>
      </c>
    </row>
    <row r="11" spans="1:2" ht="15.75">
      <c r="A11" s="115"/>
      <c r="B11" s="115"/>
    </row>
    <row r="12" spans="1:2" ht="12.75">
      <c r="A12" s="190" t="s">
        <v>87</v>
      </c>
      <c r="B12" s="191"/>
    </row>
    <row r="13" spans="1:2" ht="12.75">
      <c r="A13" s="117"/>
      <c r="B13" s="118"/>
    </row>
    <row r="14" spans="1:2" ht="12.75">
      <c r="A14" s="119" t="s">
        <v>87</v>
      </c>
      <c r="B14" s="120" t="s">
        <v>255</v>
      </c>
    </row>
    <row r="16" spans="1:2" ht="12.75">
      <c r="A16" s="190" t="s">
        <v>248</v>
      </c>
      <c r="B16" s="191"/>
    </row>
    <row r="17" spans="1:2" ht="12.75">
      <c r="A17" s="121"/>
      <c r="B17" s="122"/>
    </row>
    <row r="18" spans="1:2" ht="12.75">
      <c r="A18" s="123" t="s">
        <v>168</v>
      </c>
      <c r="B18" s="124">
        <v>1110</v>
      </c>
    </row>
    <row r="19" spans="1:2" ht="12.75">
      <c r="A19" s="123" t="str">
        <f>"+ Ptmos. comerciales (a más de 1 año)"</f>
        <v>+ Ptmos. comerciales (a más de 1 año)</v>
      </c>
      <c r="B19" s="125">
        <v>1205</v>
      </c>
    </row>
    <row r="20" spans="1:2" ht="12.75">
      <c r="A20" s="123" t="str">
        <f>"+ Ptmos. hipot. endosables para fines generales"</f>
        <v>+ Ptmos. hipot. endosables para fines generales</v>
      </c>
      <c r="B20" s="125">
        <v>1248</v>
      </c>
    </row>
    <row r="21" spans="1:2" ht="12.75">
      <c r="A21" s="123" t="str">
        <f>"+ Ptmos. fines generales en letras de crédito"</f>
        <v>+ Ptmos. fines generales en letras de crédito</v>
      </c>
      <c r="B21" s="125">
        <v>1305</v>
      </c>
    </row>
    <row r="22" spans="1:2" ht="12.75">
      <c r="A22" s="123" t="str">
        <f>"+ Deudores por boletas de garantía y consig. judic. (hasta 1 año)"</f>
        <v>+ Deudores por boletas de garantía y consig. judic. (hasta 1 año)</v>
      </c>
      <c r="B22" s="125">
        <v>1605</v>
      </c>
    </row>
    <row r="23" spans="1:2" ht="12.75">
      <c r="A23" s="123" t="str">
        <f>"+ Deudores por avales y fianzas (hasta 1 año)"</f>
        <v>+ Deudores por avales y fianzas (hasta 1 año)</v>
      </c>
      <c r="B23" s="125">
        <v>1610</v>
      </c>
    </row>
    <row r="24" spans="1:2" ht="12.75">
      <c r="A24" s="123" t="str">
        <f>"+ Deudores por boletas de garantía y consig. judic. (a más de 1 año)"</f>
        <v>+ Deudores por boletas de garantía y consig. judic. (a más de 1 año)</v>
      </c>
      <c r="B24" s="125">
        <v>1655</v>
      </c>
    </row>
    <row r="25" spans="1:2" ht="12.75">
      <c r="A25" s="123" t="str">
        <f>"+ Deudores por avales y fianzas (a más de 1 año)"</f>
        <v>+ Deudores por avales y fianzas (a más de 1 año)</v>
      </c>
      <c r="B25" s="125">
        <v>1660</v>
      </c>
    </row>
    <row r="26" spans="1:2" ht="12.75">
      <c r="A26" s="123" t="str">
        <f>"+ Créditos comerciales vencidos"</f>
        <v>+ Créditos comerciales vencidos</v>
      </c>
      <c r="B26" s="125">
        <v>1401</v>
      </c>
    </row>
    <row r="27" spans="1:2" ht="12.75">
      <c r="A27" s="123" t="str">
        <f>"+ Operaciones de factoraje"</f>
        <v>+ Operaciones de factoraje</v>
      </c>
      <c r="B27" s="125">
        <v>1135</v>
      </c>
    </row>
    <row r="28" spans="1:2" ht="12.75">
      <c r="A28" s="123" t="str">
        <f>"+ Operaciones de factoraje (vencidas)"</f>
        <v>+ Operaciones de factoraje (vencidas)</v>
      </c>
      <c r="B28" s="125">
        <v>1418</v>
      </c>
    </row>
    <row r="29" spans="1:2" ht="12.75">
      <c r="A29" s="123" t="str">
        <f>"+ Contratos de leasing comercial"</f>
        <v>+ Contratos de leasing comercial</v>
      </c>
      <c r="B29" s="125" t="s">
        <v>169</v>
      </c>
    </row>
    <row r="30" spans="1:2" ht="12.75">
      <c r="A30" s="126" t="str">
        <f>"+ Intereses diferidos leasing comercial"</f>
        <v>+ Intereses diferidos leasing comercial</v>
      </c>
      <c r="B30" s="127" t="s">
        <v>170</v>
      </c>
    </row>
    <row r="31" spans="1:2" ht="12.75">
      <c r="A31" s="126" t="str">
        <f>"+ IVA diferido leasing comercial"</f>
        <v>+ IVA diferido leasing comercial</v>
      </c>
      <c r="B31" s="127" t="s">
        <v>171</v>
      </c>
    </row>
    <row r="32" spans="1:2" ht="12.75">
      <c r="A32" s="123" t="str">
        <f>"+ Contratos de leasing comercial vencidos"</f>
        <v>+ Contratos de leasing comercial vencidos</v>
      </c>
      <c r="B32" s="125" t="s">
        <v>172</v>
      </c>
    </row>
    <row r="33" spans="1:2" ht="12.75">
      <c r="A33" s="123" t="str">
        <f>"+ Otros saldos de la partida 1350"</f>
        <v>+ Otros saldos de la partida 1350</v>
      </c>
      <c r="B33" s="128" t="s">
        <v>173</v>
      </c>
    </row>
    <row r="34" spans="1:2" ht="12.75">
      <c r="A34" s="123" t="str">
        <f>"+ Varios deudores"</f>
        <v>+ Varios deudores</v>
      </c>
      <c r="B34" s="125">
        <v>1140</v>
      </c>
    </row>
    <row r="35" spans="1:2" ht="12.75">
      <c r="A35" s="123" t="str">
        <f>"+ Ptmos. productivos reprogramados"</f>
        <v>+ Ptmos. productivos reprogramados</v>
      </c>
      <c r="B35" s="125">
        <v>1235</v>
      </c>
    </row>
    <row r="36" spans="1:2" ht="12.75">
      <c r="A36" s="123" t="s">
        <v>174</v>
      </c>
      <c r="B36" s="125">
        <v>1245</v>
      </c>
    </row>
    <row r="37" spans="1:2" ht="12.75">
      <c r="A37" s="123" t="str">
        <f>"+ Dividendos por cobrar"</f>
        <v>+ Dividendos por cobrar</v>
      </c>
      <c r="B37" s="125">
        <v>1315</v>
      </c>
    </row>
    <row r="38" spans="1:2" ht="12.75">
      <c r="A38" s="123" t="str">
        <f>"+ Créditos importación (hasta 1 año)"</f>
        <v>+ Créditos importación (hasta 1 año)</v>
      </c>
      <c r="B38" s="125">
        <v>1125</v>
      </c>
    </row>
    <row r="39" spans="1:2" ht="12.75">
      <c r="A39" s="123" t="str">
        <f>"+ Créditos exportación (hasta 1 año)"</f>
        <v>+ Créditos exportación (hasta 1 año)</v>
      </c>
      <c r="B39" s="125">
        <v>1130</v>
      </c>
    </row>
    <row r="40" spans="1:2" ht="12.75">
      <c r="A40" s="123" t="str">
        <f>"+ Créditos importación (a más de 1 año)"</f>
        <v>+ Créditos importación (a más de 1 año)</v>
      </c>
      <c r="B40" s="125">
        <v>1220</v>
      </c>
    </row>
    <row r="41" spans="1:2" ht="12.75">
      <c r="A41" s="123" t="str">
        <f>"+ Créditos exportación (a más de 1 año)"</f>
        <v>+ Créditos exportación (a más de 1 año)</v>
      </c>
      <c r="B41" s="125">
        <v>1225</v>
      </c>
    </row>
    <row r="42" spans="1:2" ht="12.75">
      <c r="A42" s="123" t="str">
        <f>"+ Deudores por carta de crédito simples o documentarias"</f>
        <v>+ Deudores por carta de crédito simples o documentarias</v>
      </c>
      <c r="B42" s="125">
        <v>1615</v>
      </c>
    </row>
    <row r="43" spans="1:2" ht="12.75">
      <c r="A43" s="123" t="str">
        <f>"+ Deudores por carta crédito del exterior confirmadas"</f>
        <v>+ Deudores por carta crédito del exterior confirmadas</v>
      </c>
      <c r="B43" s="125">
        <v>1620</v>
      </c>
    </row>
    <row r="44" spans="1:2" ht="12.75">
      <c r="A44" s="123" t="str">
        <f>"+ Ptmos. a instituciones financieras (hasta 1 año)"</f>
        <v>+ Ptmos. a instituciones financieras (hasta 1 año)</v>
      </c>
      <c r="B44" s="125">
        <v>1120</v>
      </c>
    </row>
    <row r="45" spans="1:2" ht="12.75">
      <c r="A45" s="119" t="str">
        <f>"+ Ptmos. a instituciones financieras (a más de 1 año)"</f>
        <v>+ Ptmos. a instituciones financieras (a más de 1 año)</v>
      </c>
      <c r="B45" s="129">
        <v>1215</v>
      </c>
    </row>
    <row r="47" spans="1:2" ht="12.75">
      <c r="A47" s="190" t="s">
        <v>175</v>
      </c>
      <c r="B47" s="191"/>
    </row>
    <row r="48" spans="1:2" ht="12.75">
      <c r="A48" s="122"/>
      <c r="B48" s="122"/>
    </row>
    <row r="49" spans="1:2" ht="12.75">
      <c r="A49" s="126" t="s">
        <v>168</v>
      </c>
      <c r="B49" s="124">
        <v>1110</v>
      </c>
    </row>
    <row r="50" spans="1:2" ht="12.75">
      <c r="A50" s="123" t="str">
        <f>"+ Ptmos. comerciales (a más de 1 año)"</f>
        <v>+ Ptmos. comerciales (a más de 1 año)</v>
      </c>
      <c r="B50" s="125">
        <v>1205</v>
      </c>
    </row>
    <row r="51" spans="1:2" ht="12.75">
      <c r="A51" s="123" t="str">
        <f>"+ Ptmos. hipot. endosables para fines generales"</f>
        <v>+ Ptmos. hipot. endosables para fines generales</v>
      </c>
      <c r="B51" s="125">
        <v>1248</v>
      </c>
    </row>
    <row r="52" spans="1:2" ht="12.75">
      <c r="A52" s="126" t="str">
        <f>"+ Ptmos. fines generales en letras de crédito"</f>
        <v>+ Ptmos. fines generales en letras de crédito</v>
      </c>
      <c r="B52" s="125">
        <v>1305</v>
      </c>
    </row>
    <row r="53" spans="1:2" ht="12.75">
      <c r="A53" s="123" t="str">
        <f>"+ Deudores por boletas de garantía y consig. judic. (hasta 1 año)"</f>
        <v>+ Deudores por boletas de garantía y consig. judic. (hasta 1 año)</v>
      </c>
      <c r="B53" s="125">
        <v>1605</v>
      </c>
    </row>
    <row r="54" spans="1:2" ht="12.75">
      <c r="A54" s="123" t="str">
        <f>"+ Deudores por avales y fianzas (hasta 1 año)"</f>
        <v>+ Deudores por avales y fianzas (hasta 1 año)</v>
      </c>
      <c r="B54" s="125">
        <v>1610</v>
      </c>
    </row>
    <row r="55" spans="1:2" ht="12.75">
      <c r="A55" s="123" t="str">
        <f>"+ Deudores por boletas de garantía y consig. judic. (a más de 1 año)"</f>
        <v>+ Deudores por boletas de garantía y consig. judic. (a más de 1 año)</v>
      </c>
      <c r="B55" s="125">
        <v>1655</v>
      </c>
    </row>
    <row r="56" spans="1:2" ht="12.75">
      <c r="A56" s="123" t="str">
        <f>"+ Deudores por avales y fianzas (a más de 1 año)"</f>
        <v>+ Deudores por avales y fianzas (a más de 1 año)</v>
      </c>
      <c r="B56" s="125">
        <v>1660</v>
      </c>
    </row>
    <row r="57" spans="1:2" ht="12.75">
      <c r="A57" s="126" t="str">
        <f>"+ Créditos comerciales vencidos"</f>
        <v>+ Créditos comerciales vencidos</v>
      </c>
      <c r="B57" s="125">
        <v>1401</v>
      </c>
    </row>
    <row r="58" spans="1:2" ht="12.75">
      <c r="A58" s="126" t="str">
        <f>"+ Operaciones de factoraje"</f>
        <v>+ Operaciones de factoraje</v>
      </c>
      <c r="B58" s="125">
        <v>1135</v>
      </c>
    </row>
    <row r="59" spans="1:2" ht="12.75">
      <c r="A59" s="126" t="str">
        <f>"+ Operaciones de factoraje (vencidas)"</f>
        <v>+ Operaciones de factoraje (vencidas)</v>
      </c>
      <c r="B59" s="125">
        <v>1418</v>
      </c>
    </row>
    <row r="60" spans="1:2" ht="12.75">
      <c r="A60" s="126" t="str">
        <f>"+ Contratos de leasing comercial"</f>
        <v>+ Contratos de leasing comercial</v>
      </c>
      <c r="B60" s="125" t="s">
        <v>169</v>
      </c>
    </row>
    <row r="61" spans="1:2" ht="12.75">
      <c r="A61" s="126" t="str">
        <f>"+ Intereses diferidos leasing comercial"</f>
        <v>+ Intereses diferidos leasing comercial</v>
      </c>
      <c r="B61" s="127" t="s">
        <v>170</v>
      </c>
    </row>
    <row r="62" spans="1:2" ht="12.75">
      <c r="A62" s="126" t="str">
        <f>"+ IVA diferido leasing comercial"</f>
        <v>+ IVA diferido leasing comercial</v>
      </c>
      <c r="B62" s="127" t="s">
        <v>171</v>
      </c>
    </row>
    <row r="63" spans="1:2" ht="12.75">
      <c r="A63" s="126" t="str">
        <f>"+ Contratos de leasing comercial vencidos"</f>
        <v>+ Contratos de leasing comercial vencidos</v>
      </c>
      <c r="B63" s="125" t="s">
        <v>172</v>
      </c>
    </row>
    <row r="64" spans="1:2" ht="12.75">
      <c r="A64" s="126" t="str">
        <f>"+ Otros saldos de la partida 1350"</f>
        <v>+ Otros saldos de la partida 1350</v>
      </c>
      <c r="B64" s="128" t="s">
        <v>173</v>
      </c>
    </row>
    <row r="65" spans="1:2" ht="12.75">
      <c r="A65" s="126" t="str">
        <f>"+ Varios deudores"</f>
        <v>+ Varios deudores</v>
      </c>
      <c r="B65" s="125">
        <v>1140</v>
      </c>
    </row>
    <row r="66" spans="1:2" ht="12.75">
      <c r="A66" s="126" t="str">
        <f>"+ Ptmos. productivos reprogramados"</f>
        <v>+ Ptmos. productivos reprogramados</v>
      </c>
      <c r="B66" s="125">
        <v>1235</v>
      </c>
    </row>
    <row r="67" spans="1:2" ht="12.75">
      <c r="A67" s="126" t="s">
        <v>174</v>
      </c>
      <c r="B67" s="125">
        <v>1245</v>
      </c>
    </row>
    <row r="68" spans="1:2" ht="12.75">
      <c r="A68" s="130" t="str">
        <f>"+ Dividendos por cobrar"</f>
        <v>+ Dividendos por cobrar</v>
      </c>
      <c r="B68" s="129">
        <v>1315</v>
      </c>
    </row>
    <row r="70" spans="1:2" ht="12.75">
      <c r="A70" s="190" t="s">
        <v>176</v>
      </c>
      <c r="B70" s="191"/>
    </row>
    <row r="71" spans="1:2" ht="12.75">
      <c r="A71" s="122"/>
      <c r="B71" s="122"/>
    </row>
    <row r="72" spans="1:2" ht="12.75">
      <c r="A72" s="126" t="s">
        <v>177</v>
      </c>
      <c r="B72" s="128">
        <v>1125</v>
      </c>
    </row>
    <row r="73" spans="1:2" ht="12.75">
      <c r="A73" s="126" t="str">
        <f>"+ Créditos exportación (hasta 1 año)"</f>
        <v>+ Créditos exportación (hasta 1 año)</v>
      </c>
      <c r="B73" s="125">
        <v>1130</v>
      </c>
    </row>
    <row r="74" spans="1:2" ht="12.75">
      <c r="A74" s="126" t="str">
        <f>"+ Créditos importación (a más de 1 año)"</f>
        <v>+ Créditos importación (a más de 1 año)</v>
      </c>
      <c r="B74" s="125">
        <v>1220</v>
      </c>
    </row>
    <row r="75" spans="1:2" ht="12.75">
      <c r="A75" s="126" t="str">
        <f>"+ Créditos exportación (a más de 1 año)"</f>
        <v>+ Créditos exportación (a más de 1 año)</v>
      </c>
      <c r="B75" s="125">
        <v>1225</v>
      </c>
    </row>
    <row r="76" spans="1:2" ht="12.75">
      <c r="A76" s="126" t="str">
        <f>"+ Deudores por carta de crédito simples o documentarias"</f>
        <v>+ Deudores por carta de crédito simples o documentarias</v>
      </c>
      <c r="B76" s="125">
        <v>1615</v>
      </c>
    </row>
    <row r="77" spans="1:2" ht="12.75">
      <c r="A77" s="130" t="str">
        <f>"+ Deudores por carta crédito del exterior confirmadas"</f>
        <v>+ Deudores por carta crédito del exterior confirmadas</v>
      </c>
      <c r="B77" s="129">
        <v>1620</v>
      </c>
    </row>
    <row r="79" spans="1:2" ht="12.75">
      <c r="A79" s="190" t="s">
        <v>178</v>
      </c>
      <c r="B79" s="191"/>
    </row>
    <row r="80" spans="1:2" ht="12.75">
      <c r="A80" s="121"/>
      <c r="B80" s="122"/>
    </row>
    <row r="81" spans="1:2" ht="12.75">
      <c r="A81" s="123" t="s">
        <v>179</v>
      </c>
      <c r="B81" s="124">
        <v>1120</v>
      </c>
    </row>
    <row r="82" spans="1:2" ht="12.75">
      <c r="A82" s="119" t="str">
        <f>"+ Ptmos. a instituciones Financieras (a más de 1 año)"</f>
        <v>+ Ptmos. a instituciones Financieras (a más de 1 año)</v>
      </c>
      <c r="B82" s="129">
        <v>1215</v>
      </c>
    </row>
    <row r="84" spans="1:2" ht="12.75">
      <c r="A84" s="190" t="s">
        <v>180</v>
      </c>
      <c r="B84" s="191"/>
    </row>
    <row r="85" spans="1:2" ht="12.75">
      <c r="A85" s="121"/>
      <c r="B85" s="122"/>
    </row>
    <row r="86" spans="1:2" ht="12.75">
      <c r="A86" s="123" t="s">
        <v>181</v>
      </c>
      <c r="B86" s="128">
        <v>1115</v>
      </c>
    </row>
    <row r="87" spans="1:2" ht="12.75">
      <c r="A87" s="123" t="str">
        <f>"+ Ptmos. de consumo (a más de 1 año)"</f>
        <v>+ Ptmos. de consumo (a más de 1 año)</v>
      </c>
      <c r="B87" s="125">
        <v>1210</v>
      </c>
    </row>
    <row r="88" spans="1:2" ht="12.75">
      <c r="A88" s="123" t="str">
        <f>"+ Créditos de consumo vencidos"</f>
        <v>+ Créditos de consumo vencidos</v>
      </c>
      <c r="B88" s="125">
        <v>1411</v>
      </c>
    </row>
    <row r="89" spans="1:2" ht="12.75">
      <c r="A89" s="123" t="str">
        <f>"+ Contratos de leasing de consumo"</f>
        <v>+ Contratos de leasing de consumo</v>
      </c>
      <c r="B89" s="125" t="s">
        <v>182</v>
      </c>
    </row>
    <row r="90" spans="1:2" ht="12.75">
      <c r="A90" s="126" t="str">
        <f>"+ Intereses diferidos leasing  de consumo"</f>
        <v>+ Intereses diferidos leasing  de consumo</v>
      </c>
      <c r="B90" s="127" t="s">
        <v>183</v>
      </c>
    </row>
    <row r="91" spans="1:2" ht="12.75">
      <c r="A91" s="126" t="str">
        <f>"+ IVA diferido leasing de consumo"</f>
        <v>+ IVA diferido leasing de consumo</v>
      </c>
      <c r="B91" s="127" t="s">
        <v>184</v>
      </c>
    </row>
    <row r="92" spans="1:2" ht="12.75">
      <c r="A92" s="123" t="str">
        <f>"+ Contratos de leasing consumo vencidos"</f>
        <v>+ Contratos de leasing consumo vencidos</v>
      </c>
      <c r="B92" s="125" t="s">
        <v>185</v>
      </c>
    </row>
    <row r="93" spans="1:2" ht="12.75">
      <c r="A93" s="123" t="str">
        <f>"+ Créditos hipotecarios para vivienda"</f>
        <v>+ Créditos hipotecarios para vivienda</v>
      </c>
      <c r="B93" s="125">
        <v>1246</v>
      </c>
    </row>
    <row r="94" spans="1:2" ht="12.75">
      <c r="A94" s="123" t="s">
        <v>186</v>
      </c>
      <c r="B94" s="125">
        <v>1247</v>
      </c>
    </row>
    <row r="95" spans="1:2" ht="12.75">
      <c r="A95" s="123" t="str">
        <f>"+ Ptmos. para vivienda en letras de crédito"</f>
        <v>+ Ptmos. para vivienda en letras de crédito</v>
      </c>
      <c r="B95" s="125">
        <v>1310</v>
      </c>
    </row>
    <row r="96" spans="1:2" ht="12.75">
      <c r="A96" s="123" t="str">
        <f>"+ Créditos hipotecarios para vivienda vencidos"</f>
        <v>+ Créditos hipotecarios para vivienda vencidos</v>
      </c>
      <c r="B96" s="125">
        <v>1416</v>
      </c>
    </row>
    <row r="97" spans="1:2" ht="12.75">
      <c r="A97" s="123" t="str">
        <f>"+ Contratos de leasing de vivienda"</f>
        <v>+ Contratos de leasing de vivienda</v>
      </c>
      <c r="B97" s="125" t="s">
        <v>187</v>
      </c>
    </row>
    <row r="98" spans="1:2" ht="12.75">
      <c r="A98" s="126" t="str">
        <f>"+ Intereses diferidos leasing de vivienda"</f>
        <v>+ Intereses diferidos leasing de vivienda</v>
      </c>
      <c r="B98" s="127" t="s">
        <v>188</v>
      </c>
    </row>
    <row r="99" spans="1:2" ht="12.75">
      <c r="A99" s="126" t="str">
        <f>"+ IVA diferido leasing de vivienda"</f>
        <v>+ IVA diferido leasing de vivienda</v>
      </c>
      <c r="B99" s="127" t="s">
        <v>189</v>
      </c>
    </row>
    <row r="100" spans="1:2" ht="12.75">
      <c r="A100" s="119" t="str">
        <f>"+ Contratos de leasing de vivienda vencidos"</f>
        <v>+ Contratos de leasing de vivienda vencidos</v>
      </c>
      <c r="B100" s="129" t="s">
        <v>190</v>
      </c>
    </row>
    <row r="102" spans="1:2" ht="12.75">
      <c r="A102" s="190" t="s">
        <v>249</v>
      </c>
      <c r="B102" s="191"/>
    </row>
    <row r="103" spans="1:2" ht="12.75">
      <c r="A103" s="122"/>
      <c r="B103" s="122"/>
    </row>
    <row r="104" spans="1:2" ht="12.75">
      <c r="A104" s="126" t="s">
        <v>181</v>
      </c>
      <c r="B104" s="128">
        <v>1115</v>
      </c>
    </row>
    <row r="105" spans="1:2" ht="12.75">
      <c r="A105" s="126" t="str">
        <f>"+ Ptmos. de consumo (a más de 1 año)"</f>
        <v>+ Ptmos. de consumo (a más de 1 año)</v>
      </c>
      <c r="B105" s="125">
        <v>1210</v>
      </c>
    </row>
    <row r="106" spans="1:2" ht="12.75">
      <c r="A106" s="126" t="str">
        <f>"+ Créditos de consumo vencidos"</f>
        <v>+ Créditos de consumo vencidos</v>
      </c>
      <c r="B106" s="125">
        <v>1411</v>
      </c>
    </row>
    <row r="107" spans="1:2" ht="12.75">
      <c r="A107" s="126" t="str">
        <f>"+ Contratos de leasing de consumo"</f>
        <v>+ Contratos de leasing de consumo</v>
      </c>
      <c r="B107" s="125" t="s">
        <v>182</v>
      </c>
    </row>
    <row r="108" spans="1:2" ht="12.75">
      <c r="A108" s="126" t="str">
        <f>"+ Intereses diferidos leasing  de consumo"</f>
        <v>+ Intereses diferidos leasing  de consumo</v>
      </c>
      <c r="B108" s="128" t="s">
        <v>183</v>
      </c>
    </row>
    <row r="109" spans="1:2" ht="12.75">
      <c r="A109" s="126" t="str">
        <f>"+ IVA diferido leasing de consumo"</f>
        <v>+ IVA diferido leasing de consumo</v>
      </c>
      <c r="B109" s="128" t="s">
        <v>184</v>
      </c>
    </row>
    <row r="110" spans="1:2" ht="12.75">
      <c r="A110" s="130" t="str">
        <f>"+ Contratos de leasing consumo vencidos"</f>
        <v>+ Contratos de leasing consumo vencidos</v>
      </c>
      <c r="B110" s="129" t="s">
        <v>185</v>
      </c>
    </row>
    <row r="112" spans="1:2" ht="12.75">
      <c r="A112" s="190" t="s">
        <v>250</v>
      </c>
      <c r="B112" s="191"/>
    </row>
    <row r="113" spans="1:2" ht="12.75">
      <c r="A113" s="121"/>
      <c r="B113" s="122"/>
    </row>
    <row r="114" spans="1:2" ht="12.75">
      <c r="A114" s="123" t="s">
        <v>191</v>
      </c>
      <c r="B114" s="128">
        <v>1246</v>
      </c>
    </row>
    <row r="115" spans="1:2" ht="12.75">
      <c r="A115" s="123" t="s">
        <v>186</v>
      </c>
      <c r="B115" s="125">
        <v>1247</v>
      </c>
    </row>
    <row r="116" spans="1:2" ht="12.75">
      <c r="A116" s="123" t="str">
        <f>"+ Ptmos. para vivienda en letras de crédito"</f>
        <v>+ Ptmos. para vivienda en letras de crédito</v>
      </c>
      <c r="B116" s="125">
        <v>1310</v>
      </c>
    </row>
    <row r="117" spans="1:2" ht="12.75">
      <c r="A117" s="123" t="str">
        <f>"+ Créditos hipotecarios para vivienda vencidos"</f>
        <v>+ Créditos hipotecarios para vivienda vencidos</v>
      </c>
      <c r="B117" s="125">
        <v>1416</v>
      </c>
    </row>
    <row r="118" spans="1:2" ht="12.75">
      <c r="A118" s="123" t="str">
        <f>"+ Contratos de leasing de vivienda"</f>
        <v>+ Contratos de leasing de vivienda</v>
      </c>
      <c r="B118" s="125" t="s">
        <v>187</v>
      </c>
    </row>
    <row r="119" spans="1:2" ht="12.75">
      <c r="A119" s="126" t="str">
        <f>"+ Intereses diferidos leasing de vivienda"</f>
        <v>+ Intereses diferidos leasing de vivienda</v>
      </c>
      <c r="B119" s="127" t="s">
        <v>188</v>
      </c>
    </row>
    <row r="120" spans="1:2" ht="12.75">
      <c r="A120" s="126" t="str">
        <f>"+ IVA diferido leasing de vivienda"</f>
        <v>+ IVA diferido leasing de vivienda</v>
      </c>
      <c r="B120" s="127" t="s">
        <v>189</v>
      </c>
    </row>
    <row r="121" spans="1:2" ht="12.75">
      <c r="A121" s="119" t="str">
        <f>"+ Contratos de leasing de vivienda vencidos"</f>
        <v>+ Contratos de leasing de vivienda vencidos</v>
      </c>
      <c r="B121" s="129" t="s">
        <v>190</v>
      </c>
    </row>
    <row r="122" spans="1:2" ht="12.75">
      <c r="A122" s="33"/>
      <c r="B122" s="131"/>
    </row>
    <row r="123" spans="1:2" ht="12.75">
      <c r="A123" s="190" t="s">
        <v>70</v>
      </c>
      <c r="B123" s="191"/>
    </row>
    <row r="124" spans="1:2" ht="12.75">
      <c r="A124" s="117"/>
      <c r="B124" s="118"/>
    </row>
    <row r="125" spans="1:2" ht="12.75">
      <c r="A125" s="119" t="s">
        <v>70</v>
      </c>
      <c r="B125" s="120" t="s">
        <v>192</v>
      </c>
    </row>
    <row r="126" ht="12.75">
      <c r="A126" s="6"/>
    </row>
    <row r="127" spans="1:2" ht="12.75">
      <c r="A127" s="190" t="s">
        <v>71</v>
      </c>
      <c r="B127" s="191"/>
    </row>
    <row r="128" spans="1:2" ht="12.75">
      <c r="A128" s="117"/>
      <c r="B128" s="118"/>
    </row>
    <row r="129" spans="1:2" ht="12.75">
      <c r="A129" s="123" t="s">
        <v>193</v>
      </c>
      <c r="B129" s="128" t="s">
        <v>194</v>
      </c>
    </row>
    <row r="130" spans="1:2" ht="12.75">
      <c r="A130" s="123" t="str">
        <f>"- Cuentas ajuste control pasivo"</f>
        <v>- Cuentas ajuste control pasivo</v>
      </c>
      <c r="B130" s="128" t="str">
        <f>"- (4505 a 4525)"</f>
        <v>- (4505 a 4525)</v>
      </c>
    </row>
    <row r="131" spans="1:2" ht="12.75">
      <c r="A131" s="123" t="str">
        <f>"- Documentos a cargo de otros bancos (canje)"</f>
        <v>- Documentos a cargo de otros bancos (canje)</v>
      </c>
      <c r="B131" s="128" t="str">
        <f>"- 1015"</f>
        <v>- 1015</v>
      </c>
    </row>
    <row r="132" spans="1:2" ht="12.75">
      <c r="A132" s="119" t="str">
        <f>"- Operaciones a futuro pasivo"</f>
        <v>- Operaciones a futuro pasivo</v>
      </c>
      <c r="B132" s="132">
        <v>4127</v>
      </c>
    </row>
    <row r="133" ht="12.75">
      <c r="A133" s="6"/>
    </row>
    <row r="134" spans="1:2" ht="12.75">
      <c r="A134" s="190" t="s">
        <v>72</v>
      </c>
      <c r="B134" s="191"/>
    </row>
    <row r="135" spans="1:2" ht="12.75">
      <c r="A135" s="121"/>
      <c r="B135" s="122"/>
    </row>
    <row r="136" spans="1:2" ht="12.75">
      <c r="A136" s="123" t="s">
        <v>195</v>
      </c>
      <c r="B136" s="126">
        <v>3005</v>
      </c>
    </row>
    <row r="137" spans="1:2" ht="12.75">
      <c r="A137" s="123" t="str">
        <f>"+ Otros saldos acreedores a la vista"</f>
        <v>+ Otros saldos acreedores a la vista</v>
      </c>
      <c r="B137" s="133">
        <v>3010</v>
      </c>
    </row>
    <row r="138" spans="1:2" ht="12.75">
      <c r="A138" s="123" t="str">
        <f>"+ Cuentas de depósito a la vista"</f>
        <v>+ Cuentas de depósito a la vista</v>
      </c>
      <c r="B138" s="133">
        <v>3015</v>
      </c>
    </row>
    <row r="139" spans="1:2" ht="12.75">
      <c r="A139" s="123" t="str">
        <f>"- Documentos a cargo de otros bancos (canje)"</f>
        <v>- Documentos a cargo de otros bancos (canje)</v>
      </c>
      <c r="B139" s="134">
        <v>1015</v>
      </c>
    </row>
    <row r="140" spans="1:2" ht="12.75">
      <c r="A140" s="123" t="str">
        <f>"+ Depósitos y captaciones a plazo 30 a 89 días"</f>
        <v>+ Depósitos y captaciones a plazo 30 a 89 días</v>
      </c>
      <c r="B140" s="133">
        <v>3020</v>
      </c>
    </row>
    <row r="141" spans="1:2" ht="12.75">
      <c r="A141" s="123" t="str">
        <f>"+ Depósitos y captaciones a plazo 90 días a 1 año"</f>
        <v>+ Depósitos y captaciones a plazo 90 días a 1 año</v>
      </c>
      <c r="B141" s="133">
        <v>3025</v>
      </c>
    </row>
    <row r="142" spans="1:2" ht="12.75">
      <c r="A142" s="123" t="str">
        <f>"+ Otros saldos acreedores a plazo"</f>
        <v>+ Otros saldos acreedores a plazo</v>
      </c>
      <c r="B142" s="133">
        <v>3030</v>
      </c>
    </row>
    <row r="143" spans="1:2" ht="12.75">
      <c r="A143" s="123" t="str">
        <f>"+ Depósitos de ahorro a plazo"</f>
        <v>+ Depósitos de ahorro a plazo</v>
      </c>
      <c r="B143" s="133">
        <v>3035</v>
      </c>
    </row>
    <row r="144" spans="1:2" ht="12.75">
      <c r="A144" s="119" t="str">
        <f>"+ Depósitos y captaciones (a más de 1 año)"</f>
        <v>+ Depósitos y captaciones (a más de 1 año)</v>
      </c>
      <c r="B144" s="135">
        <v>3065</v>
      </c>
    </row>
    <row r="146" spans="1:2" ht="12.75">
      <c r="A146" s="190" t="s">
        <v>251</v>
      </c>
      <c r="B146" s="191"/>
    </row>
    <row r="147" spans="1:2" ht="12.75">
      <c r="A147" s="136"/>
      <c r="B147" s="137"/>
    </row>
    <row r="148" spans="1:2" ht="12.75">
      <c r="A148" s="126" t="s">
        <v>195</v>
      </c>
      <c r="B148" s="126">
        <v>3005</v>
      </c>
    </row>
    <row r="149" spans="1:2" ht="12.75">
      <c r="A149" s="126" t="str">
        <f>"+ Otros saldos acreedores a la vista"</f>
        <v>+ Otros saldos acreedores a la vista</v>
      </c>
      <c r="B149" s="133">
        <v>3010</v>
      </c>
    </row>
    <row r="150" spans="1:2" ht="12.75">
      <c r="A150" s="126" t="str">
        <f>"+ Cuentas de depósito a la vista"</f>
        <v>+ Cuentas de depósito a la vista</v>
      </c>
      <c r="B150" s="133">
        <v>3015</v>
      </c>
    </row>
    <row r="151" spans="1:2" ht="12.75">
      <c r="A151" s="130" t="str">
        <f>"- Documentos a cargo de otros bancos (canje)"</f>
        <v>- Documentos a cargo de otros bancos (canje)</v>
      </c>
      <c r="B151" s="138">
        <v>1015</v>
      </c>
    </row>
    <row r="153" spans="1:2" ht="12.75">
      <c r="A153" s="190" t="s">
        <v>196</v>
      </c>
      <c r="B153" s="191"/>
    </row>
    <row r="154" spans="1:2" ht="12.75">
      <c r="A154" s="139"/>
      <c r="B154" s="122"/>
    </row>
    <row r="155" spans="1:2" ht="12.75">
      <c r="A155" s="123" t="str">
        <f>"   Depósitos y captaciones a plazo 30 a 89 días"</f>
        <v>   Depósitos y captaciones a plazo 30 a 89 días</v>
      </c>
      <c r="B155" s="126">
        <v>3020</v>
      </c>
    </row>
    <row r="156" spans="1:2" ht="12.75">
      <c r="A156" s="123" t="str">
        <f>"+ Depósitos y captaciones a plazo 90 días a 1 año"</f>
        <v>+ Depósitos y captaciones a plazo 90 días a 1 año</v>
      </c>
      <c r="B156" s="133">
        <v>3025</v>
      </c>
    </row>
    <row r="157" spans="1:2" ht="12.75">
      <c r="A157" s="123" t="str">
        <f>"+ Otros saldos acreedores a plazo"</f>
        <v>+ Otros saldos acreedores a plazo</v>
      </c>
      <c r="B157" s="133">
        <v>3030</v>
      </c>
    </row>
    <row r="158" spans="1:2" ht="12.75">
      <c r="A158" s="123" t="str">
        <f>"+ Depósitos de ahorro a plazo"</f>
        <v>+ Depósitos de ahorro a plazo</v>
      </c>
      <c r="B158" s="133">
        <v>3035</v>
      </c>
    </row>
    <row r="159" spans="1:2" ht="12.75">
      <c r="A159" s="119" t="str">
        <f>"+ Depósitos y captaciones (a más de 1 año)"</f>
        <v>+ Depósitos y captaciones (a más de 1 año)</v>
      </c>
      <c r="B159" s="135">
        <v>3065</v>
      </c>
    </row>
    <row r="161" spans="1:2" ht="12.75">
      <c r="A161" s="190" t="s">
        <v>115</v>
      </c>
      <c r="B161" s="191"/>
    </row>
    <row r="162" spans="1:2" ht="12.75">
      <c r="A162" s="121"/>
      <c r="B162" s="122"/>
    </row>
    <row r="163" spans="1:2" ht="12.75">
      <c r="A163" s="123" t="s">
        <v>197</v>
      </c>
      <c r="B163" s="128" t="s">
        <v>198</v>
      </c>
    </row>
    <row r="164" spans="1:2" ht="12.75">
      <c r="A164" s="119" t="str">
        <f>"+ Cartas de crédito simples o documentarias"</f>
        <v>+ Cartas de crédito simples o documentarias</v>
      </c>
      <c r="B164" s="135">
        <v>3615</v>
      </c>
    </row>
    <row r="166" spans="1:2" ht="12.75">
      <c r="A166" s="190" t="s">
        <v>116</v>
      </c>
      <c r="B166" s="191"/>
    </row>
    <row r="167" spans="1:2" ht="12.75">
      <c r="A167" s="122"/>
      <c r="B167" s="122"/>
    </row>
    <row r="168" spans="1:2" ht="12.75">
      <c r="A168" s="126" t="str">
        <f>"Obligaciones con letras  de crédito"</f>
        <v>Obligaciones con letras  de crédito</v>
      </c>
      <c r="B168" s="128" t="s">
        <v>199</v>
      </c>
    </row>
    <row r="169" spans="1:2" ht="12.75">
      <c r="A169" s="126" t="str">
        <f>" + Obligaciones por bonos (ordinarios)"</f>
        <v> + Obligaciones por bonos (ordinarios)</v>
      </c>
      <c r="B169" s="133">
        <v>3075</v>
      </c>
    </row>
    <row r="170" spans="1:2" ht="12.75">
      <c r="A170" s="130" t="s">
        <v>200</v>
      </c>
      <c r="B170" s="135">
        <v>4190</v>
      </c>
    </row>
    <row r="172" spans="1:2" ht="12.75">
      <c r="A172" s="190" t="s">
        <v>201</v>
      </c>
      <c r="B172" s="191"/>
    </row>
    <row r="173" spans="1:2" ht="12.75">
      <c r="A173" s="118"/>
      <c r="B173" s="118"/>
    </row>
    <row r="174" spans="1:2" ht="12.75">
      <c r="A174" s="130" t="str">
        <f>"Obligaciones con letras  de crédito"</f>
        <v>Obligaciones con letras  de crédito</v>
      </c>
      <c r="B174" s="120" t="s">
        <v>199</v>
      </c>
    </row>
    <row r="176" spans="1:2" ht="12.75">
      <c r="A176" s="190" t="s">
        <v>202</v>
      </c>
      <c r="B176" s="191"/>
    </row>
    <row r="177" spans="1:2" ht="12.75">
      <c r="A177" s="122"/>
      <c r="B177" s="122"/>
    </row>
    <row r="178" spans="1:2" ht="12.75">
      <c r="A178" s="130" t="str">
        <f>"Obligaciones por bonos (ordinarios)"</f>
        <v>Obligaciones por bonos (ordinarios)</v>
      </c>
      <c r="B178" s="140">
        <v>3075</v>
      </c>
    </row>
    <row r="180" spans="1:2" ht="12.75">
      <c r="A180" s="190" t="s">
        <v>203</v>
      </c>
      <c r="B180" s="191"/>
    </row>
    <row r="181" spans="1:2" ht="12.75">
      <c r="A181" s="121"/>
      <c r="B181" s="141"/>
    </row>
    <row r="182" spans="1:2" ht="12.75">
      <c r="A182" s="119" t="s">
        <v>203</v>
      </c>
      <c r="B182" s="130">
        <v>4190</v>
      </c>
    </row>
    <row r="184" spans="1:2" ht="12.75">
      <c r="A184" s="190" t="s">
        <v>73</v>
      </c>
      <c r="B184" s="191"/>
    </row>
    <row r="185" spans="1:2" ht="12.75">
      <c r="A185" s="122"/>
      <c r="B185" s="141"/>
    </row>
    <row r="186" spans="1:2" ht="12.75">
      <c r="A186" s="130" t="s">
        <v>73</v>
      </c>
      <c r="B186" s="120" t="s">
        <v>204</v>
      </c>
    </row>
    <row r="188" spans="1:2" ht="12.75">
      <c r="A188" s="190" t="s">
        <v>76</v>
      </c>
      <c r="B188" s="191"/>
    </row>
    <row r="189" spans="1:2" ht="12.75">
      <c r="A189" s="122"/>
      <c r="B189" s="141"/>
    </row>
    <row r="190" spans="1:2" ht="12.75">
      <c r="A190" s="119" t="s">
        <v>76</v>
      </c>
      <c r="B190" s="120" t="s">
        <v>205</v>
      </c>
    </row>
    <row r="192" spans="1:2" ht="12.75">
      <c r="A192" s="190" t="s">
        <v>75</v>
      </c>
      <c r="B192" s="191"/>
    </row>
    <row r="193" spans="1:2" ht="12.75">
      <c r="A193" s="122"/>
      <c r="B193" s="141"/>
    </row>
    <row r="194" spans="1:2" ht="12.75">
      <c r="A194" s="126" t="s">
        <v>206</v>
      </c>
      <c r="B194" s="128">
        <v>1350</v>
      </c>
    </row>
    <row r="195" spans="1:2" ht="12.75">
      <c r="A195" s="130" t="str">
        <f>"+ contratos de leasing vencidos"</f>
        <v>+ contratos de leasing vencidos</v>
      </c>
      <c r="B195" s="135">
        <v>1421</v>
      </c>
    </row>
    <row r="196" spans="1:2" ht="12.75">
      <c r="A196" s="6"/>
      <c r="B196" s="142"/>
    </row>
    <row r="197" spans="1:2" ht="12.75">
      <c r="A197" s="190" t="s">
        <v>93</v>
      </c>
      <c r="B197" s="191"/>
    </row>
    <row r="198" spans="1:2" ht="12.75">
      <c r="A198" s="122"/>
      <c r="B198" s="141"/>
    </row>
    <row r="199" spans="1:2" ht="12.75">
      <c r="A199" s="126" t="s">
        <v>207</v>
      </c>
      <c r="B199" s="125">
        <v>1135</v>
      </c>
    </row>
    <row r="200" spans="1:2" ht="12.75">
      <c r="A200" s="130" t="str">
        <f>"+ Operaciones de factoraje vencidas"</f>
        <v>+ Operaciones de factoraje vencidas</v>
      </c>
      <c r="B200" s="129">
        <v>1418</v>
      </c>
    </row>
    <row r="202" spans="1:2" ht="12.75">
      <c r="A202" s="190" t="s">
        <v>74</v>
      </c>
      <c r="B202" s="191"/>
    </row>
    <row r="203" spans="1:2" ht="12.75">
      <c r="A203" s="122"/>
      <c r="B203" s="122"/>
    </row>
    <row r="204" spans="1:2" ht="12.75">
      <c r="A204" s="126" t="str">
        <f>"   Deudores por boletas de garantía y consig. judic. (hasta 1 año)"</f>
        <v>   Deudores por boletas de garantía y consig. judic. (hasta 1 año)</v>
      </c>
      <c r="B204" s="124">
        <v>1605</v>
      </c>
    </row>
    <row r="205" spans="1:2" ht="12.75">
      <c r="A205" s="126" t="str">
        <f>"+ Deudores por avales y fianzas (hasta 1 año)"</f>
        <v>+ Deudores por avales y fianzas (hasta 1 año)</v>
      </c>
      <c r="B205" s="125">
        <v>1610</v>
      </c>
    </row>
    <row r="206" spans="1:2" ht="12.75">
      <c r="A206" s="126" t="str">
        <f>"+ Deudores por carta crédito simples y documentarias"</f>
        <v>+ Deudores por carta crédito simples y documentarias</v>
      </c>
      <c r="B206" s="125">
        <v>1615</v>
      </c>
    </row>
    <row r="207" spans="1:2" ht="12.75">
      <c r="A207" s="126" t="str">
        <f>"+ Deudores por carta crédito del exterior confirmadas"</f>
        <v>+ Deudores por carta crédito del exterior confirmadas</v>
      </c>
      <c r="B207" s="125">
        <v>1620</v>
      </c>
    </row>
    <row r="208" spans="1:2" ht="12.75">
      <c r="A208" s="126" t="str">
        <f>"+ Deudores por boletas de garantía y consig. judic. (a más de 1 año)"</f>
        <v>+ Deudores por boletas de garantía y consig. judic. (a más de 1 año)</v>
      </c>
      <c r="B208" s="125">
        <v>1655</v>
      </c>
    </row>
    <row r="209" spans="1:2" ht="12.75">
      <c r="A209" s="130" t="str">
        <f>"+ Deudores por avales y fianzas (a más de 1 año)"</f>
        <v>+ Deudores por avales y fianzas (a más de 1 año)</v>
      </c>
      <c r="B209" s="129">
        <v>1660</v>
      </c>
    </row>
    <row r="212" spans="1:2" ht="12.75">
      <c r="A212" s="190" t="s">
        <v>77</v>
      </c>
      <c r="B212" s="191"/>
    </row>
    <row r="213" spans="1:2" ht="12.75">
      <c r="A213" s="121"/>
      <c r="B213" s="122"/>
    </row>
    <row r="214" spans="1:2" ht="12.75">
      <c r="A214" s="119" t="s">
        <v>77</v>
      </c>
      <c r="B214" s="120" t="s">
        <v>256</v>
      </c>
    </row>
    <row r="215" spans="1:2" ht="12.75">
      <c r="A215" s="6"/>
      <c r="B215" s="143"/>
    </row>
    <row r="217" spans="1:2" ht="12.75">
      <c r="A217" s="190" t="s">
        <v>208</v>
      </c>
      <c r="B217" s="191"/>
    </row>
    <row r="218" spans="1:2" ht="12.75">
      <c r="A218" s="121"/>
      <c r="B218" s="122"/>
    </row>
    <row r="219" spans="1:2" ht="12.75">
      <c r="A219" s="123" t="s">
        <v>209</v>
      </c>
      <c r="B219" s="128" t="s">
        <v>210</v>
      </c>
    </row>
    <row r="220" spans="1:2" ht="12.75">
      <c r="A220" s="123" t="str">
        <f>"+ Reajustes percibidos y devengados"</f>
        <v>+ Reajustes percibidos y devengados</v>
      </c>
      <c r="B220" s="128" t="s">
        <v>211</v>
      </c>
    </row>
    <row r="221" spans="1:2" ht="12.75">
      <c r="A221" s="123" t="str">
        <f>"- Intereses pagados y devengados"</f>
        <v>- Intereses pagados y devengados</v>
      </c>
      <c r="B221" s="128" t="s">
        <v>212</v>
      </c>
    </row>
    <row r="222" spans="1:2" ht="12.75">
      <c r="A222" s="123" t="str">
        <f>"- Reajustes pagados y devengados"</f>
        <v>- Reajustes pagados y devengados</v>
      </c>
      <c r="B222" s="128" t="str">
        <f>"- 5305 a 5400"</f>
        <v>- 5305 a 5400</v>
      </c>
    </row>
    <row r="223" spans="1:2" ht="12.75">
      <c r="A223" s="123" t="str">
        <f>"+ Utilidades de cambio"</f>
        <v>+ Utilidades de cambio</v>
      </c>
      <c r="B223" s="128" t="s">
        <v>213</v>
      </c>
    </row>
    <row r="224" spans="1:2" ht="12.75">
      <c r="A224" s="119" t="str">
        <f>"- Pérdidas de cambio"</f>
        <v>- Pérdidas de cambio</v>
      </c>
      <c r="B224" s="120" t="str">
        <f>"- 5705 a 5710"</f>
        <v>- 5705 a 5710</v>
      </c>
    </row>
    <row r="226" spans="1:2" ht="12.75">
      <c r="A226" s="190" t="s">
        <v>80</v>
      </c>
      <c r="B226" s="191"/>
    </row>
    <row r="227" spans="1:2" ht="12.75">
      <c r="A227" s="122"/>
      <c r="B227" s="122"/>
    </row>
    <row r="228" spans="1:2" ht="12.75">
      <c r="A228" s="126" t="str">
        <f>"  Comisiones percibidas y devengadas"</f>
        <v>  Comisiones percibidas y devengadas</v>
      </c>
      <c r="B228" s="128" t="s">
        <v>214</v>
      </c>
    </row>
    <row r="229" spans="1:2" ht="12.75">
      <c r="A229" s="130" t="str">
        <f>"- Comisiones pagadas y devengadas"</f>
        <v>- Comisiones pagadas y devengadas</v>
      </c>
      <c r="B229" s="120" t="str">
        <f>"- 5505 a 5530"</f>
        <v>- 5505 a 5530</v>
      </c>
    </row>
    <row r="231" spans="1:2" ht="12.75">
      <c r="A231" s="190" t="s">
        <v>215</v>
      </c>
      <c r="B231" s="191"/>
    </row>
    <row r="232" spans="1:2" ht="12.75">
      <c r="A232" s="122"/>
      <c r="B232" s="122"/>
    </row>
    <row r="233" spans="1:2" ht="12.75">
      <c r="A233" s="126"/>
      <c r="B233" s="126"/>
    </row>
    <row r="234" spans="1:2" ht="12.75">
      <c r="A234" s="130" t="s">
        <v>216</v>
      </c>
      <c r="B234" s="144" t="s">
        <v>217</v>
      </c>
    </row>
    <row r="236" spans="1:2" ht="12.75">
      <c r="A236" s="190" t="s">
        <v>218</v>
      </c>
      <c r="B236" s="191"/>
    </row>
    <row r="237" spans="1:2" ht="12.75">
      <c r="A237" s="121"/>
      <c r="B237" s="122"/>
    </row>
    <row r="238" spans="1:2" ht="12.75">
      <c r="A238" s="123" t="s">
        <v>219</v>
      </c>
      <c r="B238" s="128" t="s">
        <v>220</v>
      </c>
    </row>
    <row r="239" spans="1:2" ht="12.75">
      <c r="A239" s="123" t="str">
        <f>"- Pérdidas por diferencias de precio"</f>
        <v>- Pérdidas por diferencias de precio</v>
      </c>
      <c r="B239" s="128" t="str">
        <f>"- 5605 a 5650"</f>
        <v>- 5605 a 5650</v>
      </c>
    </row>
    <row r="240" spans="1:2" ht="12.75">
      <c r="A240" s="123" t="str">
        <f>"+ Otros Ingresos de operación"</f>
        <v>+ Otros Ingresos de operación</v>
      </c>
      <c r="B240" s="125">
        <v>7910</v>
      </c>
    </row>
    <row r="241" spans="1:2" ht="12.75">
      <c r="A241" s="123" t="str">
        <f>"- Otros gastos de operación"</f>
        <v>- Otros gastos de operación</v>
      </c>
      <c r="B241" s="128" t="str">
        <f>"- 5900"</f>
        <v>- 5900</v>
      </c>
    </row>
    <row r="242" spans="1:2" ht="12.75">
      <c r="A242" s="123" t="str">
        <f>"+ Corrección Monetaria (ingreso)"</f>
        <v>+ Corrección Monetaria (ingreso)</v>
      </c>
      <c r="B242" s="125">
        <v>8405</v>
      </c>
    </row>
    <row r="243" spans="1:2" ht="12.75">
      <c r="A243" s="119" t="str">
        <f>"- Corrección Monetaria (gasto)"</f>
        <v>- Corrección Monetaria (gasto)</v>
      </c>
      <c r="B243" s="132">
        <v>6405</v>
      </c>
    </row>
    <row r="245" spans="1:2" ht="12.75">
      <c r="A245" s="188" t="s">
        <v>82</v>
      </c>
      <c r="B245" s="189"/>
    </row>
    <row r="246" spans="1:2" ht="12.75">
      <c r="A246" s="121"/>
      <c r="B246" s="157"/>
    </row>
    <row r="247" spans="1:2" ht="12.75">
      <c r="A247" s="123" t="s">
        <v>221</v>
      </c>
      <c r="B247" s="158"/>
    </row>
    <row r="248" spans="1:2" ht="12.75">
      <c r="A248" s="123" t="str">
        <f>"+ Comisiones netas"</f>
        <v>+ Comisiones netas</v>
      </c>
      <c r="B248" s="158"/>
    </row>
    <row r="249" spans="1:2" ht="12.75">
      <c r="A249" s="123" t="str">
        <f>"+ Recuperación de colocaciones  e inversiones castigadas"</f>
        <v>+ Recuperación de colocaciones  e inversiones castigadas</v>
      </c>
      <c r="B249" s="158"/>
    </row>
    <row r="250" spans="1:2" ht="12.75">
      <c r="A250" s="119" t="str">
        <f>"+ Otros ingresos de operación netos"</f>
        <v>+ Otros ingresos de operación netos</v>
      </c>
      <c r="B250" s="159"/>
    </row>
    <row r="251" spans="1:2" ht="12.75">
      <c r="A251" s="6"/>
      <c r="B251" s="6"/>
    </row>
    <row r="252" spans="1:2" ht="12.75">
      <c r="A252" s="190" t="s">
        <v>83</v>
      </c>
      <c r="B252" s="191"/>
    </row>
    <row r="253" spans="1:2" ht="12.75">
      <c r="A253" s="122"/>
      <c r="B253" s="122"/>
    </row>
    <row r="254" spans="1:2" ht="12.75">
      <c r="A254" s="130" t="s">
        <v>83</v>
      </c>
      <c r="B254" s="120" t="s">
        <v>222</v>
      </c>
    </row>
    <row r="255" spans="1:2" ht="12.75">
      <c r="A255" s="6"/>
      <c r="B255" s="6"/>
    </row>
    <row r="256" spans="1:2" ht="12.75">
      <c r="A256" s="190" t="s">
        <v>49</v>
      </c>
      <c r="B256" s="191"/>
    </row>
    <row r="257" spans="1:2" ht="12.75">
      <c r="A257" s="122"/>
      <c r="B257" s="122"/>
    </row>
    <row r="258" spans="1:2" ht="12.75">
      <c r="A258" s="126" t="s">
        <v>223</v>
      </c>
      <c r="B258" s="128" t="s">
        <v>224</v>
      </c>
    </row>
    <row r="259" spans="1:2" ht="12.75">
      <c r="A259" s="130" t="s">
        <v>225</v>
      </c>
      <c r="B259" s="144" t="s">
        <v>226</v>
      </c>
    </row>
    <row r="261" spans="1:2" ht="12.75">
      <c r="A261" s="188" t="s">
        <v>84</v>
      </c>
      <c r="B261" s="189"/>
    </row>
    <row r="262" spans="1:2" ht="12.75">
      <c r="A262" s="121"/>
      <c r="B262" s="157"/>
    </row>
    <row r="263" spans="1:2" ht="12.75">
      <c r="A263" s="123" t="s">
        <v>227</v>
      </c>
      <c r="B263" s="158"/>
    </row>
    <row r="264" spans="1:2" ht="12.75">
      <c r="A264" s="123" t="str">
        <f>"- Gastos de apoyo operacional"</f>
        <v>- Gastos de apoyo operacional</v>
      </c>
      <c r="B264" s="158"/>
    </row>
    <row r="265" spans="1:2" ht="12.75">
      <c r="A265" s="119" t="str">
        <f>"- Gasto en provisiones"</f>
        <v>- Gasto en provisiones</v>
      </c>
      <c r="B265" s="159"/>
    </row>
    <row r="266" spans="1:2" ht="12.75">
      <c r="A266" s="64"/>
      <c r="B266" s="64"/>
    </row>
    <row r="267" spans="1:2" ht="12.75">
      <c r="A267" s="190" t="s">
        <v>252</v>
      </c>
      <c r="B267" s="191"/>
    </row>
    <row r="268" spans="1:2" ht="12.75">
      <c r="A268" s="122"/>
      <c r="B268" s="122"/>
    </row>
    <row r="269" spans="1:2" ht="12.75">
      <c r="A269" s="145" t="s">
        <v>229</v>
      </c>
      <c r="B269" s="146">
        <v>8350</v>
      </c>
    </row>
    <row r="270" spans="1:2" ht="12.75">
      <c r="A270" s="145" t="str">
        <f>"- Pérdidas por inversión en sociedades"</f>
        <v>- Pérdidas por inversión en sociedades</v>
      </c>
      <c r="B270" s="147">
        <v>6350</v>
      </c>
    </row>
    <row r="271" spans="1:2" ht="12.75">
      <c r="A271" s="123" t="str">
        <f>"+ Utilidades de sucursales en el exterior"</f>
        <v>+ Utilidades de sucursales en el exterior</v>
      </c>
      <c r="B271" s="125">
        <v>8320</v>
      </c>
    </row>
    <row r="272" spans="1:2" ht="12.75">
      <c r="A272" s="119" t="str">
        <f>"- Perdidas de sucursales en el exterior"</f>
        <v>- Perdidas de sucursales en el exterior</v>
      </c>
      <c r="B272" s="132">
        <v>6320</v>
      </c>
    </row>
    <row r="273" spans="1:2" ht="12.75">
      <c r="A273" s="64"/>
      <c r="B273" s="64"/>
    </row>
    <row r="274" spans="1:2" ht="12.75">
      <c r="A274" s="188" t="s">
        <v>253</v>
      </c>
      <c r="B274" s="189"/>
    </row>
    <row r="275" spans="1:2" ht="12.75">
      <c r="A275" s="192" t="s">
        <v>230</v>
      </c>
      <c r="B275" s="193"/>
    </row>
    <row r="276" spans="1:2" ht="12.75">
      <c r="A276" s="117"/>
      <c r="B276" s="148"/>
    </row>
    <row r="277" spans="1:2" ht="12.75">
      <c r="A277" s="160" t="s">
        <v>231</v>
      </c>
      <c r="B277" s="161"/>
    </row>
    <row r="278" spans="1:2" ht="12.75">
      <c r="A278" s="162" t="str">
        <f>"+ Utilidades de inversiones en sociedades y de sucurs. en el exterior"</f>
        <v>+ Utilidades de inversiones en sociedades y de sucurs. en el exterior</v>
      </c>
      <c r="B278" s="163"/>
    </row>
    <row r="279" spans="1:2" ht="12.75">
      <c r="A279" s="64"/>
      <c r="B279" s="64"/>
    </row>
    <row r="280" spans="1:2" ht="12.75">
      <c r="A280" s="190" t="s">
        <v>104</v>
      </c>
      <c r="B280" s="191"/>
    </row>
    <row r="281" spans="1:2" ht="12.75">
      <c r="A281" s="121"/>
      <c r="B281" s="122"/>
    </row>
    <row r="282" spans="1:2" ht="12.75">
      <c r="A282" s="123" t="s">
        <v>232</v>
      </c>
      <c r="B282" s="128" t="s">
        <v>233</v>
      </c>
    </row>
    <row r="283" spans="1:2" ht="12.75">
      <c r="A283" s="123" t="s">
        <v>234</v>
      </c>
      <c r="B283" s="125">
        <v>8115</v>
      </c>
    </row>
    <row r="284" spans="1:2" ht="12.75">
      <c r="A284" s="119" t="str">
        <f>"- Gastos no operacionales"</f>
        <v>- Gastos no operacionales</v>
      </c>
      <c r="B284" s="120" t="str">
        <f>"- 6305 a 6315"</f>
        <v>- 6305 a 6315</v>
      </c>
    </row>
    <row r="285" spans="1:2" ht="12.75">
      <c r="A285" s="64"/>
      <c r="B285" s="64"/>
    </row>
    <row r="286" spans="1:2" ht="12.75">
      <c r="A286" s="188" t="s">
        <v>99</v>
      </c>
      <c r="B286" s="189"/>
    </row>
    <row r="287" spans="1:2" ht="12.75">
      <c r="A287" s="121"/>
      <c r="B287" s="157"/>
    </row>
    <row r="288" spans="1:2" ht="12.75">
      <c r="A288" s="160" t="s">
        <v>254</v>
      </c>
      <c r="B288" s="158"/>
    </row>
    <row r="289" spans="1:2" ht="12.75">
      <c r="A289" s="160" t="s">
        <v>235</v>
      </c>
      <c r="B289" s="158"/>
    </row>
    <row r="290" spans="1:2" ht="12.75">
      <c r="A290" s="119" t="str">
        <f>"+ Otros ingresos netos"</f>
        <v>+ Otros ingresos netos</v>
      </c>
      <c r="B290" s="159"/>
    </row>
    <row r="291" spans="1:2" ht="12.75">
      <c r="A291" s="6"/>
      <c r="B291" s="6"/>
    </row>
    <row r="292" spans="1:2" ht="12.75">
      <c r="A292" s="190" t="s">
        <v>94</v>
      </c>
      <c r="B292" s="191"/>
    </row>
    <row r="293" spans="1:2" ht="12.75">
      <c r="A293" s="122"/>
      <c r="B293" s="122"/>
    </row>
    <row r="294" spans="1:2" ht="12.75">
      <c r="A294" s="149" t="s">
        <v>236</v>
      </c>
      <c r="B294" s="130">
        <v>6605</v>
      </c>
    </row>
    <row r="295" ht="12.75">
      <c r="A295" s="6"/>
    </row>
    <row r="296" spans="1:2" ht="12.75">
      <c r="A296" s="188" t="s">
        <v>85</v>
      </c>
      <c r="B296" s="189"/>
    </row>
    <row r="297" spans="1:2" ht="12.75">
      <c r="A297" s="121"/>
      <c r="B297" s="157"/>
    </row>
    <row r="298" spans="1:2" ht="12.75">
      <c r="A298" s="160" t="s">
        <v>237</v>
      </c>
      <c r="B298" s="158"/>
    </row>
    <row r="299" spans="1:2" ht="12.75">
      <c r="A299" s="119" t="str">
        <f>"- Impuestos"</f>
        <v>- Impuestos</v>
      </c>
      <c r="B299" s="159"/>
    </row>
    <row r="300" ht="12.75">
      <c r="A300" s="6"/>
    </row>
    <row r="301" spans="1:2" ht="12.75">
      <c r="A301" s="190" t="s">
        <v>128</v>
      </c>
      <c r="B301" s="191"/>
    </row>
    <row r="302" spans="1:2" ht="12.75">
      <c r="A302" s="117"/>
      <c r="B302" s="118"/>
    </row>
    <row r="303" spans="1:2" ht="12.75">
      <c r="A303" s="150" t="s">
        <v>128</v>
      </c>
      <c r="B303" s="130">
        <v>9602</v>
      </c>
    </row>
  </sheetData>
  <mergeCells count="40">
    <mergeCell ref="A146:B146"/>
    <mergeCell ref="A153:B153"/>
    <mergeCell ref="A161:B161"/>
    <mergeCell ref="A123:B123"/>
    <mergeCell ref="A127:B127"/>
    <mergeCell ref="A134:B134"/>
    <mergeCell ref="A79:B79"/>
    <mergeCell ref="A84:B84"/>
    <mergeCell ref="A102:B102"/>
    <mergeCell ref="A112:B112"/>
    <mergeCell ref="A12:B12"/>
    <mergeCell ref="A16:B16"/>
    <mergeCell ref="A47:B47"/>
    <mergeCell ref="A70:B70"/>
    <mergeCell ref="A166:B166"/>
    <mergeCell ref="A172:B172"/>
    <mergeCell ref="A176:B176"/>
    <mergeCell ref="A180:B180"/>
    <mergeCell ref="A184:B184"/>
    <mergeCell ref="A188:B188"/>
    <mergeCell ref="A192:B192"/>
    <mergeCell ref="A197:B197"/>
    <mergeCell ref="A202:B202"/>
    <mergeCell ref="A212:B212"/>
    <mergeCell ref="A217:B217"/>
    <mergeCell ref="A226:B226"/>
    <mergeCell ref="A231:B231"/>
    <mergeCell ref="A236:B236"/>
    <mergeCell ref="A245:B245"/>
    <mergeCell ref="A252:B252"/>
    <mergeCell ref="A296:B296"/>
    <mergeCell ref="A301:B301"/>
    <mergeCell ref="A256:B256"/>
    <mergeCell ref="A261:B261"/>
    <mergeCell ref="A267:B267"/>
    <mergeCell ref="A275:B275"/>
    <mergeCell ref="A280:B280"/>
    <mergeCell ref="A286:B286"/>
    <mergeCell ref="A292:B292"/>
    <mergeCell ref="A274:B274"/>
  </mergeCells>
  <hyperlinks>
    <hyperlink ref="G1" location="Indice!A1" display="Volver"/>
  </hyperlinks>
  <printOptions/>
  <pageMargins left="0.75" right="0.75" top="1" bottom="1" header="0" footer="0"/>
  <pageSetup horizontalDpi="600" verticalDpi="600" orientation="portrait" scale="92" r:id="rId2"/>
  <headerFooter alignWithMargins="0">
    <oddHeader>&amp;CDefiniciones Usadas - &amp;F</oddHeader>
    <oddFooter>&amp;CPágina &amp;P de &amp;N</oddFooter>
  </headerFooter>
  <rowBreaks count="5" manualBreakCount="5">
    <brk id="46" max="1" man="1"/>
    <brk id="101" max="1" man="1"/>
    <brk id="152" max="1" man="1"/>
    <brk id="201" max="1" man="1"/>
    <brk id="255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Abril 2005</dc:title>
  <dc:subject/>
  <dc:creator>Superintendencia de Bancos e Instituciones Financieras - SBIF</dc:creator>
  <cp:keywords/>
  <dc:description/>
  <cp:lastModifiedBy>Juan Carlos Camus</cp:lastModifiedBy>
  <cp:lastPrinted>2005-05-20T13:33:43Z</cp:lastPrinted>
  <dcterms:created xsi:type="dcterms:W3CDTF">1998-06-19T14:09:35Z</dcterms:created>
  <dcterms:modified xsi:type="dcterms:W3CDTF">2005-05-20T13:33:45Z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-134831786</vt:i4>
  </property>
  <property fmtid="{D5CDD505-2E9C-101B-9397-08002B2CF9AE}" pid="3" name="_EmailSubject">
    <vt:lpwstr>Información Financiera Mensual - Abril de 2005.XLS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ReviewingToolsShownOnce">
    <vt:lpwstr/>
  </property>
</Properties>
</file>