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3180" windowHeight="945" activeTab="0"/>
  </bookViews>
  <sheets>
    <sheet name="INDICE" sheetId="1" r:id="rId1"/>
    <sheet name="N° y Monto Dep. MCH Reaj" sheetId="2" r:id="rId2"/>
    <sheet name="N° y Monto Dep. MCH no Reaj" sheetId="3" r:id="rId3"/>
    <sheet name="N° y Monto Dep. MX" sheetId="4" r:id="rId4"/>
    <sheet name="N° y Monto Cta Ahorro" sheetId="5" r:id="rId5"/>
  </sheets>
  <definedNames>
    <definedName name="_xlnm.Print_Area" localSheetId="0">'INDICE'!$A$2:$J$17</definedName>
    <definedName name="_xlnm.Print_Area" localSheetId="4">'N° y Monto Cta Ahorro'!$B$5:$P$28</definedName>
    <definedName name="_xlnm.Print_Area" localSheetId="2">'N° y Monto Dep. MCH no Reaj'!$B$5:$L$48</definedName>
    <definedName name="_xlnm.Print_Area" localSheetId="1">'N° y Monto Dep. MCH Reaj'!$B$4:$L$47</definedName>
    <definedName name="_xlnm.Print_Area" localSheetId="3">'N° y Monto Dep. MX'!$B$5:$L$49</definedName>
  </definedNames>
  <calcPr fullCalcOnLoad="1"/>
</workbook>
</file>

<file path=xl/sharedStrings.xml><?xml version="1.0" encoding="utf-8"?>
<sst xmlns="http://schemas.openxmlformats.org/spreadsheetml/2006/main" count="275" uniqueCount="74">
  <si>
    <t xml:space="preserve"> </t>
  </si>
  <si>
    <t xml:space="preserve">HASTA 120 UF      </t>
  </si>
  <si>
    <t xml:space="preserve">MAS DE 120 UF       </t>
  </si>
  <si>
    <t xml:space="preserve">MAS DE 500 UF     </t>
  </si>
  <si>
    <t xml:space="preserve"> MAS DE 1.500 UF</t>
  </si>
  <si>
    <t xml:space="preserve">    T  O  T  A  L</t>
  </si>
  <si>
    <t xml:space="preserve">  </t>
  </si>
  <si>
    <t xml:space="preserve">  HASTA 500 UF      </t>
  </si>
  <si>
    <t xml:space="preserve">  Monto  </t>
  </si>
  <si>
    <t xml:space="preserve"> HASTA 1.500 UF</t>
  </si>
  <si>
    <t xml:space="preserve"> MONEDA CHILENA NO REAJUSTABLE</t>
  </si>
  <si>
    <t xml:space="preserve"> E N   M O N E D A   E X T R A N J E R A</t>
  </si>
  <si>
    <t xml:space="preserve"> NUMERO Y MONTO DE  LOS  DEPOSITOS  Y  CAPTACIONES</t>
  </si>
  <si>
    <t>N U M E R O   Y   M O N T O   D E   L A S   C U E N T A S   D E   A H O R R O   A   P L A Z O</t>
  </si>
  <si>
    <t>MAS DE 500 UF</t>
  </si>
  <si>
    <t>Número</t>
  </si>
  <si>
    <t>Para Imprimir: Control+P</t>
  </si>
  <si>
    <t>Para Guardar: F12</t>
  </si>
  <si>
    <t>Fuente: Superintendencia de Bancos e Instituciones Financieras - SBIF</t>
  </si>
  <si>
    <t>INSTITUCION</t>
  </si>
  <si>
    <t>NUMERO Y MONTO DE  LOS DEPOSITOS Y CAPTACIONES</t>
  </si>
  <si>
    <t>MONEDA CHILENA REAJUSTABLE</t>
  </si>
  <si>
    <t>HASTA 120 UF</t>
  </si>
  <si>
    <t>MAS DE 120 UF</t>
  </si>
  <si>
    <t>Información disponible en esta publicación</t>
  </si>
  <si>
    <t>Número y Monto de los Depósitos y Captaciones en Moneda Chilena Reajustable</t>
  </si>
  <si>
    <t>Número y Monto de los Depósitos y Captaciones en Moneda Chilena no Reajustable</t>
  </si>
  <si>
    <t>Número y Monto de los Depósitos y Captaciones en Moneda Extranjera</t>
  </si>
  <si>
    <t>Número y Monto de las Cuentas de Ahorro a Plazo</t>
  </si>
  <si>
    <t>Volver</t>
  </si>
  <si>
    <t>Cuentas de ahorro a plazo: corresponde a la partida "Depósitos de ahorro a plazo".</t>
  </si>
  <si>
    <t xml:space="preserve">NUMERO Y MONTO DE DEPÓSITOS, CAPTACIONES Y CUENTAS DE AHORRO A PLAZO.  OCTUBRE  2005 </t>
  </si>
  <si>
    <t>Hasta 3 UF</t>
  </si>
  <si>
    <t>3 UF - 10 UF</t>
  </si>
  <si>
    <t>10 UF - 50 UF</t>
  </si>
  <si>
    <t>50 UF - 120 UF</t>
  </si>
  <si>
    <t>120 UF - 500 UF</t>
  </si>
  <si>
    <t>Mas de 500 UF</t>
  </si>
  <si>
    <t>Todos los Tramos</t>
  </si>
  <si>
    <t>(M$)</t>
  </si>
  <si>
    <t>Notas:</t>
  </si>
  <si>
    <t>Depósitos y Captaciones: corresponde a las partidas: "Depósitos y captaciones a plazo de 30 a 89 días", "Depósitos y captaciones a plazo de 90 días a 1 año" y "Depósitos y captaciones a más de 1 año plazo".</t>
  </si>
  <si>
    <t>El número de depósitos y captaciones se ha clasificado según su saldo a fin de mes.</t>
  </si>
  <si>
    <t>El monto de los depósitos y captaciones corresponde a los saldos a fin de mes.</t>
  </si>
  <si>
    <t xml:space="preserve">Nota: </t>
  </si>
  <si>
    <t xml:space="preserve">Notas: </t>
  </si>
  <si>
    <t xml:space="preserve">ABN Amro Bank (Chile) </t>
  </si>
  <si>
    <t xml:space="preserve">Banco Bice </t>
  </si>
  <si>
    <t xml:space="preserve">Banco Bilbao Vizcaya Argentaria, Chile </t>
  </si>
  <si>
    <t xml:space="preserve">Banco de Chile </t>
  </si>
  <si>
    <t xml:space="preserve">Banco de Crédito e Inversiones </t>
  </si>
  <si>
    <t xml:space="preserve">Banco de la Nación Argentina </t>
  </si>
  <si>
    <t xml:space="preserve">Banco del Desarrollo </t>
  </si>
  <si>
    <t xml:space="preserve">Banco del Estado de Chile </t>
  </si>
  <si>
    <t xml:space="preserve">Banco do Brasil S.A. </t>
  </si>
  <si>
    <t xml:space="preserve">Banco Falabella </t>
  </si>
  <si>
    <t xml:space="preserve">Banco Internacional </t>
  </si>
  <si>
    <t xml:space="preserve">Banco Monex </t>
  </si>
  <si>
    <t xml:space="preserve">Banco Paris </t>
  </si>
  <si>
    <t xml:space="preserve">Banco Penta </t>
  </si>
  <si>
    <t xml:space="preserve">Banco Ripley </t>
  </si>
  <si>
    <t xml:space="preserve">Banco Santander-Chile </t>
  </si>
  <si>
    <t xml:space="preserve">Banco Security </t>
  </si>
  <si>
    <t xml:space="preserve">BankBoston N.A. </t>
  </si>
  <si>
    <t xml:space="preserve">Citibank N.A. </t>
  </si>
  <si>
    <t xml:space="preserve">Corpbanca </t>
  </si>
  <si>
    <t xml:space="preserve">Deutsche Bank Chile </t>
  </si>
  <si>
    <t xml:space="preserve">HNS Banco </t>
  </si>
  <si>
    <t xml:space="preserve">HSBC Bank Chile </t>
  </si>
  <si>
    <t xml:space="preserve">JP Morgan Chase Bank </t>
  </si>
  <si>
    <t xml:space="preserve">Scotiabank Sud Americano </t>
  </si>
  <si>
    <t xml:space="preserve">The Bank of Tokyo-Mitsubishi Ltd. </t>
  </si>
  <si>
    <t>(MM$)</t>
  </si>
  <si>
    <t>SISTEMA FINANCIERO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</si>
</sst>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ddd\,\ dd&quot; de &quot;mmmm&quot; de &quot;yyyy"/>
  </numFmts>
  <fonts count="12">
    <font>
      <sz val="10"/>
      <name val="Arial"/>
      <family val="0"/>
    </font>
    <font>
      <u val="single"/>
      <sz val="6"/>
      <color indexed="12"/>
      <name val="Helv"/>
      <family val="0"/>
    </font>
    <font>
      <u val="single"/>
      <sz val="10"/>
      <color indexed="36"/>
      <name val="Arial"/>
      <family val="0"/>
    </font>
    <font>
      <b/>
      <sz val="10"/>
      <color indexed="21"/>
      <name val="Arial"/>
      <family val="2"/>
    </font>
    <font>
      <b/>
      <sz val="10"/>
      <color indexed="9"/>
      <name val="Verdana"/>
      <family val="2"/>
    </font>
    <font>
      <u val="single"/>
      <sz val="11"/>
      <color indexed="21"/>
      <name val="Helv"/>
      <family val="0"/>
    </font>
    <font>
      <u val="single"/>
      <sz val="10"/>
      <color indexed="21"/>
      <name val="Arial"/>
      <family val="2"/>
    </font>
    <font>
      <b/>
      <sz val="11"/>
      <color indexed="21"/>
      <name val="Verdana"/>
      <family val="2"/>
    </font>
    <font>
      <sz val="11"/>
      <color indexed="21"/>
      <name val="Arial"/>
      <family val="0"/>
    </font>
    <font>
      <sz val="8"/>
      <color indexed="10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2" borderId="0" xfId="21" applyFill="1">
      <alignment/>
      <protection/>
    </xf>
    <xf numFmtId="0" fontId="0" fillId="2" borderId="0" xfId="0" applyFill="1" applyAlignment="1">
      <alignment/>
    </xf>
    <xf numFmtId="0" fontId="3" fillId="2" borderId="0" xfId="0" applyFont="1" applyFill="1" applyAlignment="1">
      <alignment horizontal="center"/>
    </xf>
    <xf numFmtId="0" fontId="4" fillId="2" borderId="0" xfId="21" applyFont="1" applyFill="1" applyBorder="1">
      <alignment/>
      <protection/>
    </xf>
    <xf numFmtId="0" fontId="5" fillId="2" borderId="0" xfId="15" applyFont="1" applyFill="1" applyBorder="1" applyAlignment="1">
      <alignment/>
    </xf>
    <xf numFmtId="0" fontId="6" fillId="2" borderId="0" xfId="15" applyFont="1" applyFill="1" applyAlignment="1">
      <alignment/>
    </xf>
    <xf numFmtId="0" fontId="3" fillId="2" borderId="0" xfId="0" applyFont="1" applyFill="1" applyAlignment="1">
      <alignment/>
    </xf>
    <xf numFmtId="0" fontId="7" fillId="2" borderId="0" xfId="21" applyFont="1" applyFill="1" applyBorder="1">
      <alignment/>
      <protection/>
    </xf>
    <xf numFmtId="0" fontId="8" fillId="2" borderId="0" xfId="21" applyFont="1" applyFill="1">
      <alignment/>
      <protection/>
    </xf>
    <xf numFmtId="0" fontId="3" fillId="2" borderId="0" xfId="0" applyFont="1" applyFill="1" applyAlignment="1">
      <alignment horizontal="left"/>
    </xf>
    <xf numFmtId="0" fontId="0" fillId="3" borderId="0" xfId="0" applyFill="1" applyAlignment="1">
      <alignment/>
    </xf>
    <xf numFmtId="0" fontId="4" fillId="3" borderId="1" xfId="21" applyFont="1" applyFill="1" applyBorder="1" applyAlignment="1">
      <alignment horizontal="left"/>
      <protection/>
    </xf>
    <xf numFmtId="0" fontId="4" fillId="0" borderId="0" xfId="21" applyFont="1" applyFill="1" applyBorder="1" applyAlignment="1">
      <alignment/>
      <protection/>
    </xf>
    <xf numFmtId="0" fontId="9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10" fillId="2" borderId="4" xfId="0" applyFont="1" applyFill="1" applyBorder="1" applyAlignment="1">
      <alignment/>
    </xf>
    <xf numFmtId="0" fontId="10" fillId="2" borderId="5" xfId="0" applyFont="1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6" xfId="0" applyFill="1" applyBorder="1" applyAlignment="1">
      <alignment/>
    </xf>
    <xf numFmtId="3" fontId="0" fillId="2" borderId="7" xfId="0" applyNumberFormat="1" applyFill="1" applyBorder="1" applyAlignment="1">
      <alignment/>
    </xf>
    <xf numFmtId="3" fontId="0" fillId="2" borderId="0" xfId="0" applyNumberFormat="1" applyFill="1" applyAlignment="1">
      <alignment/>
    </xf>
    <xf numFmtId="0" fontId="10" fillId="2" borderId="8" xfId="0" applyFont="1" applyFill="1" applyBorder="1" applyAlignment="1">
      <alignment/>
    </xf>
    <xf numFmtId="0" fontId="10" fillId="2" borderId="9" xfId="0" applyFont="1" applyFill="1" applyBorder="1" applyAlignment="1">
      <alignment/>
    </xf>
    <xf numFmtId="0" fontId="0" fillId="2" borderId="0" xfId="0" applyFill="1" applyBorder="1" applyAlignment="1">
      <alignment/>
    </xf>
    <xf numFmtId="3" fontId="0" fillId="2" borderId="0" xfId="0" applyNumberFormat="1" applyFill="1" applyBorder="1" applyAlignment="1">
      <alignment/>
    </xf>
    <xf numFmtId="3" fontId="0" fillId="2" borderId="10" xfId="0" applyNumberFormat="1" applyFill="1" applyBorder="1" applyAlignment="1">
      <alignment/>
    </xf>
    <xf numFmtId="3" fontId="0" fillId="0" borderId="7" xfId="0" applyNumberFormat="1" applyBorder="1" applyAlignment="1">
      <alignment/>
    </xf>
    <xf numFmtId="17" fontId="10" fillId="0" borderId="0" xfId="0" applyNumberFormat="1" applyFont="1" applyAlignment="1">
      <alignment/>
    </xf>
    <xf numFmtId="17" fontId="10" fillId="0" borderId="0" xfId="0" applyNumberFormat="1" applyFont="1" applyAlignment="1">
      <alignment horizontal="center"/>
    </xf>
    <xf numFmtId="0" fontId="10" fillId="0" borderId="7" xfId="0" applyFont="1" applyBorder="1" applyAlignment="1">
      <alignment/>
    </xf>
    <xf numFmtId="3" fontId="10" fillId="0" borderId="7" xfId="0" applyNumberFormat="1" applyFont="1" applyBorder="1" applyAlignment="1">
      <alignment/>
    </xf>
    <xf numFmtId="0" fontId="10" fillId="0" borderId="0" xfId="0" applyFont="1" applyAlignment="1">
      <alignment/>
    </xf>
    <xf numFmtId="3" fontId="10" fillId="2" borderId="10" xfId="0" applyNumberFormat="1" applyFont="1" applyFill="1" applyBorder="1" applyAlignment="1">
      <alignment/>
    </xf>
    <xf numFmtId="3" fontId="10" fillId="2" borderId="7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3" fontId="10" fillId="0" borderId="0" xfId="0" applyNumberFormat="1" applyFont="1" applyBorder="1" applyAlignment="1">
      <alignment/>
    </xf>
    <xf numFmtId="3" fontId="9" fillId="2" borderId="0" xfId="0" applyNumberFormat="1" applyFont="1" applyFill="1" applyAlignment="1">
      <alignment/>
    </xf>
    <xf numFmtId="3" fontId="0" fillId="0" borderId="0" xfId="0" applyNumberFormat="1" applyAlignment="1">
      <alignment/>
    </xf>
    <xf numFmtId="3" fontId="6" fillId="2" borderId="0" xfId="15" applyNumberFormat="1" applyFont="1" applyFill="1" applyAlignment="1">
      <alignment/>
    </xf>
    <xf numFmtId="3" fontId="10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10" fillId="0" borderId="0" xfId="0" applyNumberFormat="1" applyFont="1" applyAlignment="1">
      <alignment/>
    </xf>
    <xf numFmtId="3" fontId="10" fillId="2" borderId="11" xfId="0" applyNumberFormat="1" applyFont="1" applyFill="1" applyBorder="1" applyAlignment="1">
      <alignment/>
    </xf>
    <xf numFmtId="3" fontId="0" fillId="2" borderId="9" xfId="0" applyNumberFormat="1" applyFont="1" applyFill="1" applyBorder="1" applyAlignment="1">
      <alignment horizontal="center"/>
    </xf>
    <xf numFmtId="3" fontId="0" fillId="2" borderId="8" xfId="0" applyNumberFormat="1" applyFont="1" applyFill="1" applyBorder="1" applyAlignment="1">
      <alignment horizontal="center"/>
    </xf>
    <xf numFmtId="3" fontId="0" fillId="2" borderId="12" xfId="0" applyNumberFormat="1" applyFont="1" applyFill="1" applyBorder="1" applyAlignment="1">
      <alignment horizontal="center"/>
    </xf>
    <xf numFmtId="3" fontId="0" fillId="2" borderId="11" xfId="0" applyNumberFormat="1" applyFont="1" applyFill="1" applyBorder="1" applyAlignment="1">
      <alignment/>
    </xf>
    <xf numFmtId="0" fontId="11" fillId="2" borderId="0" xfId="0" applyFont="1" applyFill="1" applyBorder="1" applyAlignment="1">
      <alignment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10" fillId="2" borderId="8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0" fillId="2" borderId="0" xfId="0" applyFill="1" applyAlignment="1">
      <alignment horizontal="left" vertical="center" wrapText="1"/>
    </xf>
    <xf numFmtId="0" fontId="3" fillId="2" borderId="0" xfId="0" applyFont="1" applyFill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3" fontId="3" fillId="2" borderId="0" xfId="0" applyNumberFormat="1" applyFont="1" applyFill="1" applyAlignment="1">
      <alignment horizontal="center"/>
    </xf>
    <xf numFmtId="3" fontId="10" fillId="0" borderId="7" xfId="0" applyNumberFormat="1" applyFont="1" applyBorder="1" applyAlignment="1">
      <alignment horizontal="center"/>
    </xf>
    <xf numFmtId="3" fontId="10" fillId="0" borderId="2" xfId="0" applyNumberFormat="1" applyFont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Sociedades Evaluadoras - Marzo 2005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0</xdr:rowOff>
    </xdr:from>
    <xdr:to>
      <xdr:col>2</xdr:col>
      <xdr:colOff>142875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61925"/>
          <a:ext cx="866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2:L16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5.28125" style="0" customWidth="1"/>
  </cols>
  <sheetData>
    <row r="2" spans="1:12" ht="12.7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.75">
      <c r="A3" s="1"/>
      <c r="B3" s="3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1"/>
      <c r="B4" s="3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>
      <c r="A5" s="1"/>
      <c r="B5" s="10" t="s">
        <v>31</v>
      </c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2.75">
      <c r="A6" s="1"/>
      <c r="B6" s="3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>
      <c r="A7" s="1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6.5" customHeight="1">
      <c r="A8" s="13"/>
      <c r="B8" s="12" t="s">
        <v>24</v>
      </c>
      <c r="C8" s="11"/>
      <c r="D8" s="11"/>
      <c r="E8" s="11"/>
      <c r="F8" s="11"/>
      <c r="G8" s="2"/>
      <c r="H8" s="2"/>
      <c r="I8" s="2"/>
      <c r="J8" s="2"/>
      <c r="K8" s="2"/>
      <c r="L8" s="2"/>
    </row>
    <row r="9" spans="1:12" ht="12.75">
      <c r="A9" s="4"/>
      <c r="B9" s="4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2.75">
      <c r="A10" s="5"/>
      <c r="B10" s="6" t="s">
        <v>25</v>
      </c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ht="14.25">
      <c r="A11" s="8"/>
      <c r="B11" s="6" t="s">
        <v>26</v>
      </c>
      <c r="C11" s="7"/>
      <c r="D11" s="7"/>
      <c r="E11" s="7"/>
      <c r="F11" s="7"/>
      <c r="G11" s="7"/>
      <c r="H11" s="7"/>
      <c r="I11" s="7"/>
      <c r="J11" s="2"/>
      <c r="K11" s="2"/>
      <c r="L11" s="2"/>
    </row>
    <row r="12" spans="1:12" ht="14.25">
      <c r="A12" s="8"/>
      <c r="B12" s="6" t="s">
        <v>27</v>
      </c>
      <c r="C12" s="7"/>
      <c r="D12" s="7"/>
      <c r="E12" s="7"/>
      <c r="F12" s="7"/>
      <c r="G12" s="7"/>
      <c r="H12" s="7"/>
      <c r="I12" s="7"/>
      <c r="J12" s="2"/>
      <c r="K12" s="2"/>
      <c r="L12" s="2"/>
    </row>
    <row r="13" spans="1:12" ht="14.25">
      <c r="A13" s="8"/>
      <c r="B13" s="6" t="s">
        <v>28</v>
      </c>
      <c r="C13" s="7"/>
      <c r="D13" s="7"/>
      <c r="E13" s="7"/>
      <c r="F13" s="7"/>
      <c r="G13" s="7"/>
      <c r="H13" s="7"/>
      <c r="I13" s="7"/>
      <c r="J13" s="2"/>
      <c r="K13" s="2"/>
      <c r="L13" s="2"/>
    </row>
    <row r="14" spans="1:12" ht="14.25">
      <c r="A14" s="8"/>
      <c r="B14" s="9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2:12" ht="14.25">
      <c r="B15" s="9" t="s">
        <v>18</v>
      </c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2.75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</sheetData>
  <hyperlinks>
    <hyperlink ref="B10" location="'N° y Monto Dep. MCH Reaj'!A1" display="Número y Monto de los Depósitos y Captaciones en Moneda Chilena Reajustable"/>
    <hyperlink ref="B11" location="'N° y Monto Dep. MCH no Reaj'!A1" display="Número y Monto de los Depósitos y Captaciones en Moneda Chilena no Reajustable"/>
    <hyperlink ref="B12" location="'N° y Monto Dep. MX'!A1" display="Número y Monto de los Depósitos y Captaciones en Moneda Extranjera"/>
    <hyperlink ref="B13" location="'N° y Monto Cta Ahorro'!A1" display="Número y Monto de las Cuentas de Ahorro a Plazo"/>
  </hyperlinks>
  <printOptions verticalCentered="1"/>
  <pageMargins left="0.7874015748031497" right="0.7874015748031497" top="0.984251968503937" bottom="0.984251968503937" header="0" footer="0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showGridLines="0" zoomScale="75" zoomScaleNormal="75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33.00390625" style="0" customWidth="1"/>
    <col min="3" max="3" width="11.7109375" style="0" customWidth="1"/>
    <col min="4" max="4" width="15.7109375" style="0" customWidth="1"/>
    <col min="5" max="5" width="11.7109375" style="0" customWidth="1"/>
    <col min="6" max="6" width="15.7109375" style="0" customWidth="1"/>
    <col min="7" max="7" width="11.7109375" style="0" customWidth="1"/>
    <col min="8" max="8" width="15.7109375" style="0" customWidth="1"/>
    <col min="9" max="9" width="11.7109375" style="0" customWidth="1"/>
    <col min="10" max="10" width="15.7109375" style="0" customWidth="1"/>
    <col min="11" max="11" width="11.7109375" style="0" customWidth="1"/>
    <col min="12" max="12" width="15.7109375" style="0" customWidth="1"/>
  </cols>
  <sheetData>
    <row r="1" spans="1:14" ht="12.75">
      <c r="A1" s="14" t="s">
        <v>16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14" t="s">
        <v>17</v>
      </c>
      <c r="B2" s="2"/>
      <c r="C2" s="2"/>
      <c r="D2" s="2"/>
      <c r="E2" s="2"/>
      <c r="F2" s="2"/>
      <c r="G2" s="2"/>
      <c r="H2" s="2"/>
      <c r="I2" s="2"/>
      <c r="J2" s="2"/>
      <c r="K2" s="6" t="s">
        <v>29</v>
      </c>
      <c r="L2" s="2"/>
      <c r="M2" s="2"/>
      <c r="N2" s="2"/>
    </row>
    <row r="5" spans="1:14" ht="12.75">
      <c r="A5" s="2"/>
      <c r="B5" s="60" t="s">
        <v>20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2"/>
      <c r="N5" s="2"/>
    </row>
    <row r="6" spans="1:14" ht="12.75">
      <c r="A6" s="2"/>
      <c r="B6" s="60" t="s">
        <v>21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2"/>
      <c r="N6" s="2"/>
    </row>
    <row r="7" spans="1:14" ht="12.75">
      <c r="A7" s="2"/>
      <c r="C7" s="32"/>
      <c r="D7" s="32"/>
      <c r="E7" s="32"/>
      <c r="F7" s="33">
        <v>38626</v>
      </c>
      <c r="G7" s="32"/>
      <c r="H7" s="32"/>
      <c r="I7" s="32"/>
      <c r="J7" s="32"/>
      <c r="K7" s="32"/>
      <c r="L7" s="32"/>
      <c r="M7" s="2"/>
      <c r="N7" s="2"/>
    </row>
    <row r="8" spans="1:14" ht="12.75">
      <c r="A8" s="2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2"/>
      <c r="N8" s="2"/>
    </row>
    <row r="9" spans="1:14" ht="12.75">
      <c r="A9" s="2"/>
      <c r="B9" s="16"/>
      <c r="C9" s="57" t="s">
        <v>22</v>
      </c>
      <c r="D9" s="58"/>
      <c r="E9" s="57" t="s">
        <v>23</v>
      </c>
      <c r="F9" s="58"/>
      <c r="G9" s="57" t="s">
        <v>14</v>
      </c>
      <c r="H9" s="58"/>
      <c r="I9" s="57" t="s">
        <v>4</v>
      </c>
      <c r="J9" s="58"/>
      <c r="K9" s="57" t="s">
        <v>5</v>
      </c>
      <c r="L9" s="58"/>
      <c r="M9" s="2"/>
      <c r="N9" s="2"/>
    </row>
    <row r="10" spans="1:14" ht="12.75">
      <c r="A10" s="2"/>
      <c r="B10" s="17"/>
      <c r="C10" s="18" t="s">
        <v>6</v>
      </c>
      <c r="D10" s="19"/>
      <c r="E10" s="61" t="s">
        <v>7</v>
      </c>
      <c r="F10" s="62"/>
      <c r="G10" s="61" t="s">
        <v>9</v>
      </c>
      <c r="H10" s="62"/>
      <c r="I10" s="18"/>
      <c r="J10" s="19"/>
      <c r="K10" s="18"/>
      <c r="L10" s="19"/>
      <c r="M10" s="2" t="s">
        <v>0</v>
      </c>
      <c r="N10" s="2"/>
    </row>
    <row r="11" spans="1:14" ht="12.75">
      <c r="A11" s="2"/>
      <c r="B11" s="20" t="s">
        <v>19</v>
      </c>
      <c r="C11" s="21" t="s">
        <v>15</v>
      </c>
      <c r="D11" s="21" t="s">
        <v>8</v>
      </c>
      <c r="E11" s="21" t="s">
        <v>15</v>
      </c>
      <c r="F11" s="21" t="s">
        <v>8</v>
      </c>
      <c r="G11" s="21" t="s">
        <v>15</v>
      </c>
      <c r="H11" s="21" t="s">
        <v>8</v>
      </c>
      <c r="I11" s="21" t="s">
        <v>15</v>
      </c>
      <c r="J11" s="21" t="s">
        <v>8</v>
      </c>
      <c r="K11" s="21" t="s">
        <v>15</v>
      </c>
      <c r="L11" s="21" t="s">
        <v>8</v>
      </c>
      <c r="M11" s="22"/>
      <c r="N11" s="22"/>
    </row>
    <row r="12" spans="1:14" ht="12.75">
      <c r="A12" s="2"/>
      <c r="B12" s="17"/>
      <c r="C12" s="17"/>
      <c r="D12" s="20" t="s">
        <v>72</v>
      </c>
      <c r="E12" s="17"/>
      <c r="F12" s="20" t="s">
        <v>72</v>
      </c>
      <c r="G12" s="17"/>
      <c r="H12" s="20" t="s">
        <v>72</v>
      </c>
      <c r="I12" s="17"/>
      <c r="J12" s="20" t="s">
        <v>72</v>
      </c>
      <c r="K12" s="17"/>
      <c r="L12" s="20" t="s">
        <v>72</v>
      </c>
      <c r="M12" s="2"/>
      <c r="N12" s="22"/>
    </row>
    <row r="13" spans="1:14" ht="12.75">
      <c r="A13" s="2"/>
      <c r="B13" s="23" t="s">
        <v>0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"/>
      <c r="N13" s="2"/>
    </row>
    <row r="14" spans="2:12" ht="12.75">
      <c r="B14" s="53" t="s">
        <v>46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25</v>
      </c>
      <c r="J14" s="31">
        <f>5059544675/1000</f>
        <v>5059544.675</v>
      </c>
      <c r="K14" s="30">
        <f aca="true" t="shared" si="0" ref="K14:K32">+C14+E14+G14+I14</f>
        <v>25</v>
      </c>
      <c r="L14" s="24">
        <f aca="true" t="shared" si="1" ref="L14:L32">+D14+F14+H14+J14</f>
        <v>5059544.675</v>
      </c>
    </row>
    <row r="15" spans="2:12" ht="12.75">
      <c r="B15" s="54" t="s">
        <v>47</v>
      </c>
      <c r="C15" s="31">
        <v>255</v>
      </c>
      <c r="D15" s="31">
        <f>247025545/1000</f>
        <v>247025.545</v>
      </c>
      <c r="E15" s="31">
        <v>239</v>
      </c>
      <c r="F15" s="31">
        <f>1121213498/1000</f>
        <v>1121213.498</v>
      </c>
      <c r="G15" s="31">
        <v>137</v>
      </c>
      <c r="H15" s="31">
        <f>2142290541/1000</f>
        <v>2142290.541</v>
      </c>
      <c r="I15" s="31">
        <v>1433</v>
      </c>
      <c r="J15" s="31">
        <f>174556425917/1000</f>
        <v>174556425.917</v>
      </c>
      <c r="K15" s="30">
        <f t="shared" si="0"/>
        <v>2064</v>
      </c>
      <c r="L15" s="24">
        <f t="shared" si="1"/>
        <v>178066955.501</v>
      </c>
    </row>
    <row r="16" spans="2:12" ht="12.75">
      <c r="B16" s="54" t="s">
        <v>48</v>
      </c>
      <c r="C16" s="31">
        <v>42</v>
      </c>
      <c r="D16" s="31">
        <f>44580948/1000</f>
        <v>44580.948</v>
      </c>
      <c r="E16" s="31">
        <v>95</v>
      </c>
      <c r="F16" s="31">
        <f>395577128/1000</f>
        <v>395577.128</v>
      </c>
      <c r="G16" s="31">
        <v>93</v>
      </c>
      <c r="H16" s="31">
        <f>1480287826/1000</f>
        <v>1480287.826</v>
      </c>
      <c r="I16" s="31">
        <v>8418</v>
      </c>
      <c r="J16" s="31">
        <f>1096643069286/1000</f>
        <v>1096643069.286</v>
      </c>
      <c r="K16" s="30">
        <f t="shared" si="0"/>
        <v>8648</v>
      </c>
      <c r="L16" s="24">
        <f t="shared" si="1"/>
        <v>1098563515.188</v>
      </c>
    </row>
    <row r="17" spans="1:14" ht="12.75">
      <c r="A17" s="2"/>
      <c r="B17" s="54" t="s">
        <v>49</v>
      </c>
      <c r="C17" s="31">
        <v>1878</v>
      </c>
      <c r="D17" s="31">
        <f>2094515340/1000</f>
        <v>2094515.34</v>
      </c>
      <c r="E17" s="31">
        <v>2508</v>
      </c>
      <c r="F17" s="31">
        <f>11699227750/1000</f>
        <v>11699227.75</v>
      </c>
      <c r="G17" s="31">
        <v>1385</v>
      </c>
      <c r="H17" s="31">
        <f>21912265200/1000</f>
        <v>21912265.2</v>
      </c>
      <c r="I17" s="31">
        <v>7651</v>
      </c>
      <c r="J17" s="31">
        <f>1160410511770/1000</f>
        <v>1160410511.77</v>
      </c>
      <c r="K17" s="30">
        <f t="shared" si="0"/>
        <v>13422</v>
      </c>
      <c r="L17" s="24">
        <f t="shared" si="1"/>
        <v>1196116520.06</v>
      </c>
      <c r="M17" s="2"/>
      <c r="N17" s="2"/>
    </row>
    <row r="18" spans="2:12" ht="12.75">
      <c r="B18" s="54" t="s">
        <v>50</v>
      </c>
      <c r="C18" s="31">
        <v>1195</v>
      </c>
      <c r="D18" s="31">
        <f>1355006952/1000</f>
        <v>1355006.952</v>
      </c>
      <c r="E18" s="31">
        <v>1088</v>
      </c>
      <c r="F18" s="31">
        <f>4968124289/1000</f>
        <v>4968124.289</v>
      </c>
      <c r="G18" s="31">
        <v>480</v>
      </c>
      <c r="H18" s="31">
        <f>7269418972/1000</f>
        <v>7269418.972</v>
      </c>
      <c r="I18" s="31">
        <v>7525</v>
      </c>
      <c r="J18" s="31">
        <f>1093296211120/1000</f>
        <v>1093296211.12</v>
      </c>
      <c r="K18" s="30">
        <f t="shared" si="0"/>
        <v>10288</v>
      </c>
      <c r="L18" s="24">
        <f t="shared" si="1"/>
        <v>1106888761.333</v>
      </c>
    </row>
    <row r="19" spans="2:12" ht="12.75">
      <c r="B19" s="54" t="s">
        <v>51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0">
        <f t="shared" si="0"/>
        <v>0</v>
      </c>
      <c r="L19" s="24">
        <f t="shared" si="1"/>
        <v>0</v>
      </c>
    </row>
    <row r="20" spans="2:12" ht="12.75">
      <c r="B20" s="54" t="s">
        <v>52</v>
      </c>
      <c r="C20" s="31">
        <v>768</v>
      </c>
      <c r="D20" s="31">
        <f>575714351/1000</f>
        <v>575714.351</v>
      </c>
      <c r="E20" s="31">
        <v>328</v>
      </c>
      <c r="F20" s="31">
        <f>1385946198/1000</f>
        <v>1385946.198</v>
      </c>
      <c r="G20" s="31">
        <v>140</v>
      </c>
      <c r="H20" s="31">
        <f>2008628526/1000</f>
        <v>2008628.526</v>
      </c>
      <c r="I20" s="31">
        <v>1119</v>
      </c>
      <c r="J20" s="31">
        <f>175571771099/1000</f>
        <v>175571771.099</v>
      </c>
      <c r="K20" s="30">
        <f t="shared" si="0"/>
        <v>2355</v>
      </c>
      <c r="L20" s="24">
        <f t="shared" si="1"/>
        <v>179542060.174</v>
      </c>
    </row>
    <row r="21" spans="2:12" ht="12.75">
      <c r="B21" s="54" t="s">
        <v>53</v>
      </c>
      <c r="C21" s="31">
        <v>10614</v>
      </c>
      <c r="D21" s="31">
        <f>1715432100/1000</f>
        <v>1715432.1</v>
      </c>
      <c r="E21" s="31">
        <v>453</v>
      </c>
      <c r="F21" s="31">
        <f>1930300353/1000</f>
        <v>1930300.353</v>
      </c>
      <c r="G21" s="31">
        <v>164</v>
      </c>
      <c r="H21" s="31">
        <f>2716046037/1000</f>
        <v>2716046.037</v>
      </c>
      <c r="I21" s="31">
        <v>3393</v>
      </c>
      <c r="J21" s="31">
        <f>527365095914/1000</f>
        <v>527365095.914</v>
      </c>
      <c r="K21" s="30">
        <f t="shared" si="0"/>
        <v>14624</v>
      </c>
      <c r="L21" s="24">
        <f t="shared" si="1"/>
        <v>533726874.404</v>
      </c>
    </row>
    <row r="22" spans="2:12" ht="12.75">
      <c r="B22" s="54" t="s">
        <v>54</v>
      </c>
      <c r="C22" s="31">
        <v>0</v>
      </c>
      <c r="D22" s="31">
        <v>0</v>
      </c>
      <c r="E22" s="31">
        <v>1</v>
      </c>
      <c r="F22" s="31">
        <f>3315605/1000</f>
        <v>3315.605</v>
      </c>
      <c r="G22" s="31">
        <v>6</v>
      </c>
      <c r="H22" s="31">
        <f>115356717/1000</f>
        <v>115356.717</v>
      </c>
      <c r="I22" s="31">
        <v>0</v>
      </c>
      <c r="J22" s="31">
        <v>0</v>
      </c>
      <c r="K22" s="30">
        <f t="shared" si="0"/>
        <v>7</v>
      </c>
      <c r="L22" s="24">
        <f t="shared" si="1"/>
        <v>118672.322</v>
      </c>
    </row>
    <row r="23" spans="2:12" ht="12.75">
      <c r="B23" s="54" t="s">
        <v>55</v>
      </c>
      <c r="C23" s="31">
        <v>11</v>
      </c>
      <c r="D23" s="31">
        <f>6574112/1000</f>
        <v>6574.112</v>
      </c>
      <c r="E23" s="31">
        <v>7</v>
      </c>
      <c r="F23" s="31">
        <f>36017783/1000</f>
        <v>36017.783</v>
      </c>
      <c r="G23" s="31">
        <v>34</v>
      </c>
      <c r="H23" s="31">
        <f>844414772/1000</f>
        <v>844414.772</v>
      </c>
      <c r="I23" s="31">
        <v>291</v>
      </c>
      <c r="J23" s="31">
        <f>27523563893/1000</f>
        <v>27523563.893</v>
      </c>
      <c r="K23" s="30">
        <f t="shared" si="0"/>
        <v>343</v>
      </c>
      <c r="L23" s="24">
        <f t="shared" si="1"/>
        <v>28410570.56</v>
      </c>
    </row>
    <row r="24" spans="1:14" ht="12.75">
      <c r="A24" s="2"/>
      <c r="B24" s="54" t="s">
        <v>56</v>
      </c>
      <c r="C24" s="31">
        <v>104</v>
      </c>
      <c r="D24" s="31">
        <f>108099509/1000</f>
        <v>108099.509</v>
      </c>
      <c r="E24" s="31">
        <v>111</v>
      </c>
      <c r="F24" s="31">
        <f>477585455/1000</f>
        <v>477585.455</v>
      </c>
      <c r="G24" s="31">
        <v>31</v>
      </c>
      <c r="H24" s="31">
        <f>494853588/1000</f>
        <v>494853.588</v>
      </c>
      <c r="I24" s="31">
        <v>85</v>
      </c>
      <c r="J24" s="31">
        <f>8198453669/1000</f>
        <v>8198453.669</v>
      </c>
      <c r="K24" s="30">
        <f t="shared" si="0"/>
        <v>331</v>
      </c>
      <c r="L24" s="24">
        <f t="shared" si="1"/>
        <v>9278992.221</v>
      </c>
      <c r="M24" s="2"/>
      <c r="N24" s="2"/>
    </row>
    <row r="25" spans="2:12" ht="12.75" customHeight="1">
      <c r="B25" s="54" t="s">
        <v>57</v>
      </c>
      <c r="C25" s="31">
        <v>0</v>
      </c>
      <c r="D25" s="31">
        <v>0</v>
      </c>
      <c r="E25" s="31">
        <v>21</v>
      </c>
      <c r="F25" s="31">
        <f>106894982/1000</f>
        <v>106894.982</v>
      </c>
      <c r="G25" s="31">
        <v>0</v>
      </c>
      <c r="H25" s="31">
        <v>0</v>
      </c>
      <c r="I25" s="31">
        <v>10</v>
      </c>
      <c r="J25" s="31">
        <f>1039196714/1000</f>
        <v>1039196.714</v>
      </c>
      <c r="K25" s="30">
        <f t="shared" si="0"/>
        <v>31</v>
      </c>
      <c r="L25" s="24">
        <f t="shared" si="1"/>
        <v>1146091.696</v>
      </c>
    </row>
    <row r="26" spans="2:12" ht="12.75" customHeight="1">
      <c r="B26" s="54" t="s">
        <v>58</v>
      </c>
      <c r="C26" s="31">
        <v>0</v>
      </c>
      <c r="D26" s="31">
        <v>0</v>
      </c>
      <c r="E26" s="31">
        <v>1</v>
      </c>
      <c r="F26" s="31">
        <f>7199477/1000</f>
        <v>7199.477</v>
      </c>
      <c r="G26" s="31">
        <v>0</v>
      </c>
      <c r="H26" s="31">
        <v>0</v>
      </c>
      <c r="I26" s="31">
        <v>0</v>
      </c>
      <c r="J26" s="31">
        <v>0</v>
      </c>
      <c r="K26" s="30">
        <f t="shared" si="0"/>
        <v>1</v>
      </c>
      <c r="L26" s="24">
        <f t="shared" si="1"/>
        <v>7199.477</v>
      </c>
    </row>
    <row r="27" spans="2:12" ht="12.75" customHeight="1">
      <c r="B27" s="54" t="s">
        <v>59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1</v>
      </c>
      <c r="J27" s="31">
        <f>72390057/1000</f>
        <v>72390.057</v>
      </c>
      <c r="K27" s="30">
        <f t="shared" si="0"/>
        <v>1</v>
      </c>
      <c r="L27" s="24">
        <f t="shared" si="1"/>
        <v>72390.057</v>
      </c>
    </row>
    <row r="28" spans="2:12" ht="12.75">
      <c r="B28" s="54" t="s">
        <v>60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0">
        <f t="shared" si="0"/>
        <v>0</v>
      </c>
      <c r="L28" s="24">
        <f t="shared" si="1"/>
        <v>0</v>
      </c>
    </row>
    <row r="29" spans="2:12" ht="12.75">
      <c r="B29" s="54" t="s">
        <v>61</v>
      </c>
      <c r="C29" s="31">
        <v>2090</v>
      </c>
      <c r="D29" s="31">
        <f>2123141489/1000</f>
        <v>2123141.489</v>
      </c>
      <c r="E29" s="31">
        <v>1841</v>
      </c>
      <c r="F29" s="31">
        <f>8454581018/1000</f>
        <v>8454581.018</v>
      </c>
      <c r="G29" s="31">
        <v>1143</v>
      </c>
      <c r="H29" s="31">
        <f>19145867085/1000</f>
        <v>19145867.085</v>
      </c>
      <c r="I29" s="31">
        <v>16590</v>
      </c>
      <c r="J29" s="31">
        <f>2431808873180/1000</f>
        <v>2431808873.18</v>
      </c>
      <c r="K29" s="30">
        <f t="shared" si="0"/>
        <v>21664</v>
      </c>
      <c r="L29" s="24">
        <f t="shared" si="1"/>
        <v>2461532462.772</v>
      </c>
    </row>
    <row r="30" spans="2:12" ht="12.75">
      <c r="B30" s="54" t="s">
        <v>62</v>
      </c>
      <c r="C30" s="31">
        <v>54</v>
      </c>
      <c r="D30" s="31">
        <f>60960638/1000</f>
        <v>60960.638</v>
      </c>
      <c r="E30" s="31">
        <v>59</v>
      </c>
      <c r="F30" s="31">
        <f>272129416/1000</f>
        <v>272129.416</v>
      </c>
      <c r="G30" s="31">
        <v>42</v>
      </c>
      <c r="H30" s="31">
        <f>667690815/1000</f>
        <v>667690.815</v>
      </c>
      <c r="I30" s="31">
        <v>3396</v>
      </c>
      <c r="J30" s="31">
        <f>459369871844/1000</f>
        <v>459369871.844</v>
      </c>
      <c r="K30" s="30">
        <f t="shared" si="0"/>
        <v>3551</v>
      </c>
      <c r="L30" s="24">
        <f t="shared" si="1"/>
        <v>460370652.713</v>
      </c>
    </row>
    <row r="31" spans="2:12" ht="12.75">
      <c r="B31" s="54" t="s">
        <v>63</v>
      </c>
      <c r="C31" s="31">
        <v>41</v>
      </c>
      <c r="D31" s="31">
        <f>43305426/1000</f>
        <v>43305.426</v>
      </c>
      <c r="E31" s="31">
        <v>64</v>
      </c>
      <c r="F31" s="31">
        <f>293223805/1000</f>
        <v>293223.805</v>
      </c>
      <c r="G31" s="31">
        <v>38</v>
      </c>
      <c r="H31" s="31">
        <f>568541163/1000</f>
        <v>568541.163</v>
      </c>
      <c r="I31" s="31">
        <v>1195</v>
      </c>
      <c r="J31" s="31">
        <f>171211873455/1000</f>
        <v>171211873.455</v>
      </c>
      <c r="K31" s="30">
        <f t="shared" si="0"/>
        <v>1338</v>
      </c>
      <c r="L31" s="24">
        <f t="shared" si="1"/>
        <v>172116943.849</v>
      </c>
    </row>
    <row r="32" spans="2:12" ht="12.75">
      <c r="B32" s="54" t="s">
        <v>64</v>
      </c>
      <c r="C32" s="31">
        <v>304</v>
      </c>
      <c r="D32" s="31">
        <f>318197948/1000</f>
        <v>318197.948</v>
      </c>
      <c r="E32" s="31">
        <v>263</v>
      </c>
      <c r="F32" s="31">
        <f>1237121104/1000</f>
        <v>1237121.104</v>
      </c>
      <c r="G32" s="31">
        <v>120</v>
      </c>
      <c r="H32" s="31">
        <f>1817031134/1000</f>
        <v>1817031.134</v>
      </c>
      <c r="I32" s="31">
        <v>71</v>
      </c>
      <c r="J32" s="31">
        <f>7894774339/1000</f>
        <v>7894774.339</v>
      </c>
      <c r="K32" s="30">
        <f t="shared" si="0"/>
        <v>758</v>
      </c>
      <c r="L32" s="24">
        <f t="shared" si="1"/>
        <v>11267124.525</v>
      </c>
    </row>
    <row r="33" spans="2:12" ht="12.75">
      <c r="B33" s="54" t="s">
        <v>65</v>
      </c>
      <c r="C33" s="31">
        <v>906</v>
      </c>
      <c r="D33" s="31">
        <f>858991330/1000</f>
        <v>858991.33</v>
      </c>
      <c r="E33" s="31">
        <v>690</v>
      </c>
      <c r="F33" s="31">
        <f>3221227095/1000</f>
        <v>3221227.095</v>
      </c>
      <c r="G33" s="31">
        <v>295</v>
      </c>
      <c r="H33" s="31">
        <f>4611046633/1000</f>
        <v>4611046.633</v>
      </c>
      <c r="I33" s="31">
        <v>959</v>
      </c>
      <c r="J33" s="31">
        <f>139658002563/1000</f>
        <v>139658002.563</v>
      </c>
      <c r="K33" s="30">
        <f aca="true" t="shared" si="2" ref="K33:K40">+C33+E33+G33+I33</f>
        <v>2850</v>
      </c>
      <c r="L33" s="24">
        <f aca="true" t="shared" si="3" ref="L33:L40">+D33+F33+H33+J33</f>
        <v>148349267.621</v>
      </c>
    </row>
    <row r="34" spans="2:12" ht="12.75">
      <c r="B34" s="54" t="s">
        <v>66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0">
        <f>+C34+E34+G34+I34</f>
        <v>0</v>
      </c>
      <c r="L34" s="24">
        <f>+D34+F34+H34+J34</f>
        <v>0</v>
      </c>
    </row>
    <row r="35" spans="2:12" ht="12.75">
      <c r="B35" s="54" t="s">
        <v>67</v>
      </c>
      <c r="C35" s="31">
        <v>0</v>
      </c>
      <c r="D35" s="31">
        <v>0</v>
      </c>
      <c r="E35" s="31">
        <v>0</v>
      </c>
      <c r="F35" s="31">
        <v>0</v>
      </c>
      <c r="G35" s="31">
        <v>7</v>
      </c>
      <c r="H35" s="31">
        <f>92197763/1000</f>
        <v>92197.763</v>
      </c>
      <c r="I35" s="31">
        <v>204</v>
      </c>
      <c r="J35" s="31">
        <f>18209099545/1000</f>
        <v>18209099.545</v>
      </c>
      <c r="K35" s="30">
        <f>+C35+E35+G35+I35</f>
        <v>211</v>
      </c>
      <c r="L35" s="24">
        <f>+D35+F35+H35+J35</f>
        <v>18301297.308000002</v>
      </c>
    </row>
    <row r="36" spans="2:12" ht="12.75">
      <c r="B36" s="54" t="s">
        <v>68</v>
      </c>
      <c r="C36" s="31">
        <v>0</v>
      </c>
      <c r="D36" s="31">
        <v>0</v>
      </c>
      <c r="E36" s="31">
        <v>2</v>
      </c>
      <c r="F36" s="31">
        <f>10724608/1000</f>
        <v>10724.608</v>
      </c>
      <c r="G36" s="31">
        <v>3</v>
      </c>
      <c r="H36" s="31">
        <f>58766446/1000</f>
        <v>58766.446</v>
      </c>
      <c r="I36" s="31">
        <v>214</v>
      </c>
      <c r="J36" s="31">
        <f>30884132633/1000</f>
        <v>30884132.633</v>
      </c>
      <c r="K36" s="30">
        <f t="shared" si="2"/>
        <v>219</v>
      </c>
      <c r="L36" s="24">
        <f t="shared" si="3"/>
        <v>30953623.687000003</v>
      </c>
    </row>
    <row r="37" spans="2:12" ht="12.75">
      <c r="B37" s="54" t="s">
        <v>69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11</v>
      </c>
      <c r="J37" s="31">
        <f>10051185140/1000</f>
        <v>10051185.14</v>
      </c>
      <c r="K37" s="30">
        <f t="shared" si="2"/>
        <v>11</v>
      </c>
      <c r="L37" s="24">
        <f t="shared" si="3"/>
        <v>10051185.14</v>
      </c>
    </row>
    <row r="38" spans="2:12" ht="12.75">
      <c r="B38" s="54" t="s">
        <v>70</v>
      </c>
      <c r="C38" s="31">
        <v>113</v>
      </c>
      <c r="D38" s="31">
        <f>145903364/1000</f>
        <v>145903.364</v>
      </c>
      <c r="E38" s="31">
        <v>199</v>
      </c>
      <c r="F38" s="31">
        <f>929065817/1000</f>
        <v>929065.817</v>
      </c>
      <c r="G38" s="31">
        <v>108</v>
      </c>
      <c r="H38" s="31">
        <f>1539881639/1000</f>
        <v>1539881.639</v>
      </c>
      <c r="I38" s="31">
        <v>2617</v>
      </c>
      <c r="J38" s="31">
        <f>416160515070/1000</f>
        <v>416160515.07</v>
      </c>
      <c r="K38" s="30">
        <f>+C38+E38+G38+I38</f>
        <v>3037</v>
      </c>
      <c r="L38" s="24">
        <f>+D38+F38+H38+J38</f>
        <v>418775365.89</v>
      </c>
    </row>
    <row r="39" spans="2:12" ht="12.75">
      <c r="B39" s="55" t="s">
        <v>71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0">
        <f t="shared" si="2"/>
        <v>0</v>
      </c>
      <c r="L39" s="24">
        <f t="shared" si="3"/>
        <v>0</v>
      </c>
    </row>
    <row r="40" spans="2:12" s="36" customFormat="1" ht="12.75">
      <c r="B40" s="34" t="s">
        <v>73</v>
      </c>
      <c r="C40" s="35">
        <v>18375</v>
      </c>
      <c r="D40" s="35">
        <f>9697449052/1000</f>
        <v>9697449.052</v>
      </c>
      <c r="E40" s="35">
        <v>7970</v>
      </c>
      <c r="F40" s="35">
        <f>36549475381/1000</f>
        <v>36549475.381</v>
      </c>
      <c r="G40" s="35">
        <v>4226</v>
      </c>
      <c r="H40" s="35">
        <f>67484584857/1000</f>
        <v>67484584.857</v>
      </c>
      <c r="I40" s="35">
        <v>55208</v>
      </c>
      <c r="J40" s="35">
        <f>7954984561883/1000</f>
        <v>7954984561.883</v>
      </c>
      <c r="K40" s="37">
        <f t="shared" si="2"/>
        <v>85779</v>
      </c>
      <c r="L40" s="38">
        <f t="shared" si="3"/>
        <v>8068716071.173</v>
      </c>
    </row>
    <row r="41" spans="3:12" ht="12.75"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2" spans="3:12" ht="12.75">
      <c r="C42" s="42"/>
      <c r="D42" s="42"/>
      <c r="E42" s="42"/>
      <c r="F42" s="42"/>
      <c r="G42" s="42"/>
      <c r="H42" s="42"/>
      <c r="I42" s="42"/>
      <c r="J42" s="42"/>
      <c r="K42" s="42"/>
      <c r="L42" s="42"/>
    </row>
    <row r="43" spans="2:10" ht="12.75">
      <c r="B43" s="2" t="s">
        <v>40</v>
      </c>
      <c r="C43" s="2"/>
      <c r="D43" s="2"/>
      <c r="E43" s="2"/>
      <c r="F43" s="2"/>
      <c r="G43" s="2"/>
      <c r="H43" s="2"/>
      <c r="I43" s="2"/>
      <c r="J43" s="2"/>
    </row>
    <row r="44" spans="2:10" ht="21" customHeight="1">
      <c r="B44" s="59" t="s">
        <v>41</v>
      </c>
      <c r="C44" s="59"/>
      <c r="D44" s="59"/>
      <c r="E44" s="59"/>
      <c r="F44" s="59"/>
      <c r="G44" s="59"/>
      <c r="H44" s="59"/>
      <c r="I44" s="59"/>
      <c r="J44" s="59"/>
    </row>
    <row r="45" spans="2:10" ht="12.75">
      <c r="B45" s="59" t="s">
        <v>42</v>
      </c>
      <c r="C45" s="59"/>
      <c r="D45" s="59"/>
      <c r="E45" s="59"/>
      <c r="F45" s="59"/>
      <c r="G45" s="59"/>
      <c r="H45" s="59"/>
      <c r="I45" s="59"/>
      <c r="J45" s="59"/>
    </row>
    <row r="46" spans="2:10" ht="12.75">
      <c r="B46" s="59" t="s">
        <v>43</v>
      </c>
      <c r="C46" s="59"/>
      <c r="D46" s="59"/>
      <c r="E46" s="59"/>
      <c r="F46" s="59"/>
      <c r="G46" s="59"/>
      <c r="H46" s="59"/>
      <c r="I46" s="59"/>
      <c r="J46" s="59"/>
    </row>
    <row r="47" spans="2:10" ht="12.75">
      <c r="B47" s="2" t="s">
        <v>18</v>
      </c>
      <c r="C47" s="2"/>
      <c r="D47" s="2"/>
      <c r="E47" s="2"/>
      <c r="F47" s="2"/>
      <c r="G47" s="2"/>
      <c r="H47" s="2"/>
      <c r="I47" s="2"/>
      <c r="J47" s="2"/>
    </row>
    <row r="48" spans="2:10" ht="28.5" customHeight="1">
      <c r="B48" s="2"/>
      <c r="C48" s="25"/>
      <c r="D48" s="25"/>
      <c r="E48" s="25"/>
      <c r="F48" s="25"/>
      <c r="G48" s="25"/>
      <c r="H48" s="25"/>
      <c r="I48" s="25"/>
      <c r="J48" s="25"/>
    </row>
    <row r="49" spans="2:10" ht="12.75">
      <c r="B49" s="2"/>
      <c r="C49" s="2"/>
      <c r="D49" s="2"/>
      <c r="E49" s="2"/>
      <c r="F49" s="2"/>
      <c r="G49" s="2"/>
      <c r="H49" s="2"/>
      <c r="I49" s="2"/>
      <c r="J49" s="2"/>
    </row>
    <row r="50" spans="2:10" ht="12.75">
      <c r="B50" s="2"/>
      <c r="C50" s="2"/>
      <c r="D50" s="2"/>
      <c r="E50" s="2"/>
      <c r="F50" s="2"/>
      <c r="G50" s="2"/>
      <c r="H50" s="2"/>
      <c r="I50" s="2"/>
      <c r="J50" s="2"/>
    </row>
  </sheetData>
  <mergeCells count="12">
    <mergeCell ref="B46:J46"/>
    <mergeCell ref="B5:L5"/>
    <mergeCell ref="B6:L6"/>
    <mergeCell ref="I9:J9"/>
    <mergeCell ref="K9:L9"/>
    <mergeCell ref="G10:H10"/>
    <mergeCell ref="E10:F10"/>
    <mergeCell ref="C9:D9"/>
    <mergeCell ref="E9:F9"/>
    <mergeCell ref="G9:H9"/>
    <mergeCell ref="B44:J44"/>
    <mergeCell ref="B45:J45"/>
  </mergeCells>
  <hyperlinks>
    <hyperlink ref="K2" location="INDICE!A1" display="Volver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showGridLines="0" zoomScale="75" zoomScaleNormal="75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31.57421875" style="0" customWidth="1"/>
    <col min="3" max="3" width="11.7109375" style="0" customWidth="1"/>
    <col min="4" max="4" width="15.7109375" style="0" customWidth="1"/>
    <col min="5" max="5" width="11.7109375" style="0" customWidth="1"/>
    <col min="6" max="6" width="15.7109375" style="0" customWidth="1"/>
    <col min="7" max="7" width="11.7109375" style="0" customWidth="1"/>
    <col min="8" max="8" width="15.7109375" style="0" customWidth="1"/>
    <col min="9" max="9" width="11.7109375" style="0" customWidth="1"/>
    <col min="10" max="10" width="15.7109375" style="0" customWidth="1"/>
    <col min="11" max="11" width="11.7109375" style="0" customWidth="1"/>
    <col min="12" max="12" width="15.7109375" style="0" customWidth="1"/>
  </cols>
  <sheetData>
    <row r="1" spans="1:17" ht="12.75">
      <c r="A1" s="14" t="s">
        <v>16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 s="14" t="s">
        <v>17</v>
      </c>
      <c r="B2" s="2"/>
      <c r="C2" s="2"/>
      <c r="D2" s="2"/>
      <c r="E2" s="2"/>
      <c r="F2" s="2"/>
      <c r="G2" s="2"/>
      <c r="H2" s="2"/>
      <c r="I2" s="2"/>
      <c r="J2" s="2"/>
      <c r="K2" s="6" t="s">
        <v>29</v>
      </c>
      <c r="L2" s="2"/>
      <c r="M2" s="2"/>
      <c r="N2" s="2"/>
      <c r="O2" s="2"/>
      <c r="P2" s="2"/>
      <c r="Q2" s="2"/>
    </row>
    <row r="5" spans="1:17" ht="12.75">
      <c r="A5" s="2"/>
      <c r="B5" s="60" t="s">
        <v>12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2"/>
      <c r="N5" s="2"/>
      <c r="O5" s="2"/>
      <c r="P5" s="2"/>
      <c r="Q5" s="2"/>
    </row>
    <row r="6" spans="1:17" ht="12.75">
      <c r="A6" s="2"/>
      <c r="B6" s="60" t="s">
        <v>10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2"/>
      <c r="N6" s="2"/>
      <c r="O6" s="2"/>
      <c r="P6" s="2"/>
      <c r="Q6" s="2"/>
    </row>
    <row r="7" spans="1:17" ht="12.75">
      <c r="A7" s="2"/>
      <c r="C7" s="33" t="s">
        <v>0</v>
      </c>
      <c r="D7" s="33" t="s">
        <v>0</v>
      </c>
      <c r="E7" s="33" t="s">
        <v>0</v>
      </c>
      <c r="G7" s="33">
        <v>38626</v>
      </c>
      <c r="H7" s="33" t="s">
        <v>0</v>
      </c>
      <c r="I7" s="33" t="s">
        <v>0</v>
      </c>
      <c r="J7" s="33" t="s">
        <v>0</v>
      </c>
      <c r="K7" s="33" t="s">
        <v>0</v>
      </c>
      <c r="L7" s="33" t="s">
        <v>0</v>
      </c>
      <c r="M7" s="2"/>
      <c r="N7" s="2"/>
      <c r="O7" s="2"/>
      <c r="P7" s="2"/>
      <c r="Q7" s="2"/>
    </row>
    <row r="9" spans="1:17" ht="12.75">
      <c r="A9" s="2"/>
      <c r="B9" s="16"/>
      <c r="C9" s="57" t="s">
        <v>1</v>
      </c>
      <c r="D9" s="58"/>
      <c r="E9" s="57" t="s">
        <v>2</v>
      </c>
      <c r="F9" s="58"/>
      <c r="G9" s="57" t="s">
        <v>3</v>
      </c>
      <c r="H9" s="58"/>
      <c r="I9" s="26" t="s">
        <v>4</v>
      </c>
      <c r="J9" s="27"/>
      <c r="K9" s="57" t="s">
        <v>5</v>
      </c>
      <c r="L9" s="58"/>
      <c r="M9" s="2"/>
      <c r="N9" s="2"/>
      <c r="O9" s="2"/>
      <c r="P9" s="2"/>
      <c r="Q9" s="2"/>
    </row>
    <row r="10" spans="1:17" ht="12.75">
      <c r="A10" s="2"/>
      <c r="B10" s="17"/>
      <c r="C10" s="18" t="s">
        <v>6</v>
      </c>
      <c r="D10" s="19"/>
      <c r="E10" s="61" t="s">
        <v>7</v>
      </c>
      <c r="F10" s="62"/>
      <c r="G10" s="61" t="s">
        <v>9</v>
      </c>
      <c r="H10" s="62"/>
      <c r="I10" s="18"/>
      <c r="J10" s="19"/>
      <c r="K10" s="18"/>
      <c r="L10" s="19"/>
      <c r="M10" s="2"/>
      <c r="N10" s="2"/>
      <c r="O10" s="2"/>
      <c r="P10" s="2"/>
      <c r="Q10" s="2"/>
    </row>
    <row r="11" spans="1:17" ht="12.75">
      <c r="A11" s="2"/>
      <c r="B11" s="20" t="s">
        <v>19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2"/>
      <c r="N11" s="2"/>
      <c r="O11" s="2"/>
      <c r="P11" s="2"/>
      <c r="Q11" s="2"/>
    </row>
    <row r="12" spans="1:17" ht="12.75">
      <c r="A12" s="2"/>
      <c r="B12" s="17"/>
      <c r="C12" s="20" t="s">
        <v>15</v>
      </c>
      <c r="D12" s="20" t="s">
        <v>8</v>
      </c>
      <c r="E12" s="20" t="s">
        <v>15</v>
      </c>
      <c r="F12" s="20" t="s">
        <v>8</v>
      </c>
      <c r="G12" s="20" t="s">
        <v>15</v>
      </c>
      <c r="H12" s="20" t="s">
        <v>8</v>
      </c>
      <c r="I12" s="20" t="s">
        <v>15</v>
      </c>
      <c r="J12" s="20" t="s">
        <v>8</v>
      </c>
      <c r="K12" s="20" t="s">
        <v>15</v>
      </c>
      <c r="L12" s="20" t="s">
        <v>8</v>
      </c>
      <c r="M12" s="2"/>
      <c r="N12" s="2"/>
      <c r="O12" s="2"/>
      <c r="P12" s="2"/>
      <c r="Q12" s="2"/>
    </row>
    <row r="13" spans="1:14" ht="12.75">
      <c r="A13" s="2"/>
      <c r="B13" s="17"/>
      <c r="C13" s="17"/>
      <c r="D13" s="20" t="s">
        <v>72</v>
      </c>
      <c r="E13" s="17"/>
      <c r="F13" s="20" t="s">
        <v>72</v>
      </c>
      <c r="G13" s="17"/>
      <c r="H13" s="20" t="s">
        <v>72</v>
      </c>
      <c r="I13" s="17"/>
      <c r="J13" s="20" t="s">
        <v>72</v>
      </c>
      <c r="K13" s="17"/>
      <c r="L13" s="20" t="s">
        <v>72</v>
      </c>
      <c r="M13" s="2"/>
      <c r="N13" s="22"/>
    </row>
    <row r="14" spans="1:17" ht="12.75">
      <c r="A14" s="2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2"/>
      <c r="N14" s="2"/>
      <c r="O14" s="2"/>
      <c r="P14" s="2"/>
      <c r="Q14" s="2"/>
    </row>
    <row r="15" spans="1:17" ht="12.75">
      <c r="A15" s="2"/>
      <c r="B15" s="17" t="s">
        <v>0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2"/>
      <c r="N15" s="2"/>
      <c r="O15" s="2"/>
      <c r="P15" s="2"/>
      <c r="Q15" s="2"/>
    </row>
    <row r="16" spans="2:17" ht="12.75">
      <c r="B16" s="53" t="s">
        <v>46</v>
      </c>
      <c r="C16" s="31">
        <v>5</v>
      </c>
      <c r="D16" s="31">
        <f>5335994/1000</f>
        <v>5335.994</v>
      </c>
      <c r="E16" s="31">
        <v>4</v>
      </c>
      <c r="F16" s="31">
        <f>19132532/1000</f>
        <v>19132.532</v>
      </c>
      <c r="G16" s="31">
        <v>4</v>
      </c>
      <c r="H16" s="31">
        <f>96209391/1000</f>
        <v>96209.391</v>
      </c>
      <c r="I16" s="31">
        <v>908</v>
      </c>
      <c r="J16" s="31">
        <f>116519549389/1000</f>
        <v>116519549.389</v>
      </c>
      <c r="K16" s="30">
        <v>921</v>
      </c>
      <c r="L16" s="24">
        <f>116640227306/1000</f>
        <v>116640227.306</v>
      </c>
      <c r="M16" s="25"/>
      <c r="N16" s="25"/>
      <c r="O16" s="25"/>
      <c r="P16" s="25"/>
      <c r="Q16" s="25"/>
    </row>
    <row r="17" spans="2:17" ht="12.75">
      <c r="B17" s="54" t="s">
        <v>47</v>
      </c>
      <c r="C17" s="31">
        <v>1774</v>
      </c>
      <c r="D17" s="31">
        <f>1647478197/1000</f>
        <v>1647478.197</v>
      </c>
      <c r="E17" s="31">
        <v>1168</v>
      </c>
      <c r="F17" s="31">
        <f>5288417077/1000</f>
        <v>5288417.077</v>
      </c>
      <c r="G17" s="31">
        <v>488</v>
      </c>
      <c r="H17" s="31">
        <f>7268879422/1000</f>
        <v>7268879.422</v>
      </c>
      <c r="I17" s="31">
        <v>3025</v>
      </c>
      <c r="J17" s="31">
        <f>414003497682/1000</f>
        <v>414003497.682</v>
      </c>
      <c r="K17" s="30">
        <v>6455</v>
      </c>
      <c r="L17" s="24">
        <f>428208272378/1000</f>
        <v>428208272.378</v>
      </c>
      <c r="M17" s="25"/>
      <c r="N17" s="25"/>
      <c r="O17" s="25"/>
      <c r="P17" s="25"/>
      <c r="Q17" s="25"/>
    </row>
    <row r="18" spans="2:14" ht="12.75">
      <c r="B18" s="54" t="s">
        <v>48</v>
      </c>
      <c r="C18" s="31">
        <v>4729</v>
      </c>
      <c r="D18" s="31">
        <f>5051154773/1000</f>
        <v>5051154.773</v>
      </c>
      <c r="E18" s="31">
        <v>3758</v>
      </c>
      <c r="F18" s="31">
        <f>16746657274/1000</f>
        <v>16746657.274</v>
      </c>
      <c r="G18" s="31">
        <v>1491</v>
      </c>
      <c r="H18" s="31">
        <f>22023691084/1000</f>
        <v>22023691.084</v>
      </c>
      <c r="I18" s="31">
        <v>9185</v>
      </c>
      <c r="J18" s="31">
        <f>1274001438760/1000</f>
        <v>1274001438.76</v>
      </c>
      <c r="K18" s="30">
        <v>19163</v>
      </c>
      <c r="L18" s="24">
        <f>1317822941891/1000</f>
        <v>1317822941.891</v>
      </c>
      <c r="M18" s="25"/>
      <c r="N18" s="25"/>
    </row>
    <row r="19" spans="2:17" ht="12.75">
      <c r="B19" s="54" t="s">
        <v>49</v>
      </c>
      <c r="C19" s="31">
        <v>20683</v>
      </c>
      <c r="D19" s="31">
        <f>24525163560/1000</f>
        <v>24525163.56</v>
      </c>
      <c r="E19" s="31">
        <v>24972</v>
      </c>
      <c r="F19" s="31">
        <f>116661748630/1000</f>
        <v>116661748.63</v>
      </c>
      <c r="G19" s="31">
        <v>13256</v>
      </c>
      <c r="H19" s="31">
        <f>200433711350/1000</f>
        <v>200433711.35</v>
      </c>
      <c r="I19" s="31">
        <v>15235</v>
      </c>
      <c r="J19" s="31">
        <f>1952522288710/1000</f>
        <v>1952522288.71</v>
      </c>
      <c r="K19" s="30">
        <v>74146</v>
      </c>
      <c r="L19" s="24">
        <f>2294142912250/1000</f>
        <v>2294142912.25</v>
      </c>
      <c r="M19" s="25"/>
      <c r="N19" s="25"/>
      <c r="O19" s="25"/>
      <c r="P19" s="25"/>
      <c r="Q19" s="25"/>
    </row>
    <row r="20" spans="2:17" ht="12.75">
      <c r="B20" s="54" t="s">
        <v>50</v>
      </c>
      <c r="C20" s="31">
        <v>16169</v>
      </c>
      <c r="D20" s="31">
        <f>16896829243/1000</f>
        <v>16896829.243</v>
      </c>
      <c r="E20" s="31">
        <v>12870</v>
      </c>
      <c r="F20" s="31">
        <f>59012009829/1000</f>
        <v>59012009.829</v>
      </c>
      <c r="G20" s="31">
        <v>6082</v>
      </c>
      <c r="H20" s="31">
        <f>90699220325/1000</f>
        <v>90699220.325</v>
      </c>
      <c r="I20" s="31">
        <v>11034</v>
      </c>
      <c r="J20" s="31">
        <f>1523351275386/1000</f>
        <v>1523351275.386</v>
      </c>
      <c r="K20" s="30">
        <v>46155</v>
      </c>
      <c r="L20" s="24">
        <f>1689959334783/1000</f>
        <v>1689959334.783</v>
      </c>
      <c r="M20" s="25"/>
      <c r="N20" s="25"/>
      <c r="O20" s="25"/>
      <c r="P20" s="25"/>
      <c r="Q20" s="25"/>
    </row>
    <row r="21" spans="2:17" ht="12.75">
      <c r="B21" s="54" t="s">
        <v>51</v>
      </c>
      <c r="C21" s="31">
        <v>7</v>
      </c>
      <c r="D21" s="31">
        <f>9513797/1000</f>
        <v>9513.797</v>
      </c>
      <c r="E21" s="31">
        <v>6</v>
      </c>
      <c r="F21" s="31">
        <f>25062763/1000</f>
        <v>25062.763</v>
      </c>
      <c r="G21" s="31">
        <v>0</v>
      </c>
      <c r="H21" s="31">
        <v>0</v>
      </c>
      <c r="I21" s="31">
        <v>0</v>
      </c>
      <c r="J21" s="31">
        <v>0</v>
      </c>
      <c r="K21" s="30">
        <v>13</v>
      </c>
      <c r="L21" s="24">
        <f>34576560/1000</f>
        <v>34576.56</v>
      </c>
      <c r="M21" s="25"/>
      <c r="N21" s="25"/>
      <c r="O21" s="25"/>
      <c r="P21" s="25"/>
      <c r="Q21" s="25"/>
    </row>
    <row r="22" spans="2:14" ht="12.75">
      <c r="B22" s="54" t="s">
        <v>52</v>
      </c>
      <c r="C22" s="31">
        <v>8604</v>
      </c>
      <c r="D22" s="31">
        <f>6998085538/1000</f>
        <v>6998085.538</v>
      </c>
      <c r="E22" s="31">
        <v>5268</v>
      </c>
      <c r="F22" s="31">
        <f>24718943241/1000</f>
        <v>24718943.241</v>
      </c>
      <c r="G22" s="31">
        <v>2875</v>
      </c>
      <c r="H22" s="31">
        <f>43512199867/1000</f>
        <v>43512199.867</v>
      </c>
      <c r="I22" s="31">
        <v>4336</v>
      </c>
      <c r="J22" s="31">
        <f>513207836534/1000</f>
        <v>513207836.534</v>
      </c>
      <c r="K22" s="30">
        <v>21083</v>
      </c>
      <c r="L22" s="24">
        <f>588437065180/1000</f>
        <v>588437065.18</v>
      </c>
      <c r="M22" s="25"/>
      <c r="N22" s="25"/>
    </row>
    <row r="23" spans="2:17" ht="12.75">
      <c r="B23" s="54" t="s">
        <v>53</v>
      </c>
      <c r="C23" s="31">
        <v>38525</v>
      </c>
      <c r="D23" s="31">
        <f>34108142384/1000</f>
        <v>34108142.384</v>
      </c>
      <c r="E23" s="31">
        <v>21591</v>
      </c>
      <c r="F23" s="31">
        <f>95410800501/1000</f>
        <v>95410800.501</v>
      </c>
      <c r="G23" s="31">
        <v>5874</v>
      </c>
      <c r="H23" s="31">
        <f>82625809006/1000</f>
        <v>82625809.006</v>
      </c>
      <c r="I23" s="31">
        <v>4858</v>
      </c>
      <c r="J23" s="31">
        <f>1233523603255/1000</f>
        <v>1233523603.255</v>
      </c>
      <c r="K23" s="30">
        <v>70848</v>
      </c>
      <c r="L23" s="24">
        <f>1445668355146/1000</f>
        <v>1445668355.146</v>
      </c>
      <c r="M23" s="25"/>
      <c r="N23" s="25"/>
      <c r="O23" s="25"/>
      <c r="P23" s="25"/>
      <c r="Q23" s="25"/>
    </row>
    <row r="24" spans="2:17" ht="12.75">
      <c r="B24" s="54" t="s">
        <v>54</v>
      </c>
      <c r="C24" s="31">
        <v>10</v>
      </c>
      <c r="D24" s="31">
        <f>11346047/1000</f>
        <v>11346.047</v>
      </c>
      <c r="E24" s="31">
        <v>20</v>
      </c>
      <c r="F24" s="31">
        <f>104896116/1000</f>
        <v>104896.116</v>
      </c>
      <c r="G24" s="31">
        <v>14</v>
      </c>
      <c r="H24" s="31">
        <f>190501561/1000</f>
        <v>190501.561</v>
      </c>
      <c r="I24" s="31">
        <v>23</v>
      </c>
      <c r="J24" s="31">
        <f>1962100102/1000</f>
        <v>1962100.102</v>
      </c>
      <c r="K24" s="30">
        <v>67</v>
      </c>
      <c r="L24" s="24">
        <f>2268843826/1000</f>
        <v>2268843.826</v>
      </c>
      <c r="M24" s="25"/>
      <c r="N24" s="25"/>
      <c r="O24" s="25"/>
      <c r="P24" s="25"/>
      <c r="Q24" s="25"/>
    </row>
    <row r="25" spans="2:17" ht="12.75">
      <c r="B25" s="54" t="s">
        <v>55</v>
      </c>
      <c r="C25" s="31">
        <v>8879</v>
      </c>
      <c r="D25" s="31">
        <f>7828931739/1000</f>
        <v>7828931.739</v>
      </c>
      <c r="E25" s="31">
        <v>3852</v>
      </c>
      <c r="F25" s="31">
        <f>16782603332/1000</f>
        <v>16782603.332</v>
      </c>
      <c r="G25" s="31">
        <v>1202</v>
      </c>
      <c r="H25" s="31">
        <f>17464936442/1000</f>
        <v>17464936.442</v>
      </c>
      <c r="I25" s="31">
        <v>1707</v>
      </c>
      <c r="J25" s="31">
        <f>151341541238/1000</f>
        <v>151341541.238</v>
      </c>
      <c r="K25" s="30">
        <v>15640</v>
      </c>
      <c r="L25" s="24">
        <f>193418012751/1000</f>
        <v>193418012.751</v>
      </c>
      <c r="M25" s="25"/>
      <c r="N25" s="25"/>
      <c r="O25" s="29"/>
      <c r="P25" s="29"/>
      <c r="Q25" s="29"/>
    </row>
    <row r="26" spans="2:17" ht="12.75">
      <c r="B26" s="54" t="s">
        <v>56</v>
      </c>
      <c r="C26" s="31">
        <v>1101</v>
      </c>
      <c r="D26" s="31">
        <f>1037892216/1000</f>
        <v>1037892.216</v>
      </c>
      <c r="E26" s="31">
        <v>964</v>
      </c>
      <c r="F26" s="31">
        <f>4638166027/1000</f>
        <v>4638166.027</v>
      </c>
      <c r="G26" s="31">
        <v>520</v>
      </c>
      <c r="H26" s="31">
        <f>7655756194/1000</f>
        <v>7655756.194</v>
      </c>
      <c r="I26" s="31">
        <v>860</v>
      </c>
      <c r="J26" s="31">
        <f>86092537125/1000</f>
        <v>86092537.125</v>
      </c>
      <c r="K26" s="30">
        <v>3445</v>
      </c>
      <c r="L26" s="24">
        <f>99424351562/1000</f>
        <v>99424351.562</v>
      </c>
      <c r="M26" s="25"/>
      <c r="N26" s="25"/>
      <c r="O26" s="25"/>
      <c r="P26" s="25"/>
      <c r="Q26" s="25"/>
    </row>
    <row r="27" spans="2:17" ht="12.75" customHeight="1">
      <c r="B27" s="54" t="s">
        <v>57</v>
      </c>
      <c r="C27" s="31">
        <v>9</v>
      </c>
      <c r="D27" s="31">
        <f>10264516/1000</f>
        <v>10264.516</v>
      </c>
      <c r="E27" s="31">
        <v>6</v>
      </c>
      <c r="F27" s="31">
        <f>24318128/1000</f>
        <v>24318.128</v>
      </c>
      <c r="G27" s="31">
        <v>5</v>
      </c>
      <c r="H27" s="31">
        <f>75582777/1000</f>
        <v>75582.777</v>
      </c>
      <c r="I27" s="31">
        <v>96</v>
      </c>
      <c r="J27" s="31">
        <f>9877106003/1000</f>
        <v>9877106.003</v>
      </c>
      <c r="K27" s="30">
        <v>116</v>
      </c>
      <c r="L27" s="24">
        <f>9987271424/1000</f>
        <v>9987271.424</v>
      </c>
      <c r="M27" s="25"/>
      <c r="N27" s="25"/>
      <c r="O27" s="2"/>
      <c r="P27" s="2"/>
      <c r="Q27" s="2"/>
    </row>
    <row r="28" spans="2:17" ht="12.75" customHeight="1">
      <c r="B28" s="54" t="s">
        <v>58</v>
      </c>
      <c r="C28" s="31">
        <v>563</v>
      </c>
      <c r="D28" s="31">
        <f>503947745/1000</f>
        <v>503947.745</v>
      </c>
      <c r="E28" s="31">
        <v>295</v>
      </c>
      <c r="F28" s="31">
        <f>1383348776/1000</f>
        <v>1383348.776</v>
      </c>
      <c r="G28" s="31">
        <v>189</v>
      </c>
      <c r="H28" s="31">
        <f>2671547748/1000</f>
        <v>2671547.748</v>
      </c>
      <c r="I28" s="31">
        <v>1251</v>
      </c>
      <c r="J28" s="31">
        <f>110341307413/1000</f>
        <v>110341307.413</v>
      </c>
      <c r="K28" s="30">
        <v>2298</v>
      </c>
      <c r="L28" s="24">
        <f>114900151682/1000</f>
        <v>114900151.682</v>
      </c>
      <c r="M28" s="25"/>
      <c r="N28" s="25"/>
      <c r="O28" s="2"/>
      <c r="P28" s="2"/>
      <c r="Q28" s="2"/>
    </row>
    <row r="29" spans="2:17" ht="12.75" customHeight="1">
      <c r="B29" s="54" t="s">
        <v>59</v>
      </c>
      <c r="C29" s="31">
        <v>3</v>
      </c>
      <c r="D29" s="31">
        <f>2569904/1000</f>
        <v>2569.904</v>
      </c>
      <c r="E29" s="31">
        <v>17</v>
      </c>
      <c r="F29" s="31">
        <f>76390843/1000</f>
        <v>76390.843</v>
      </c>
      <c r="G29" s="31">
        <v>26</v>
      </c>
      <c r="H29" s="31">
        <f>290064691/1000</f>
        <v>290064.691</v>
      </c>
      <c r="I29" s="31">
        <v>395</v>
      </c>
      <c r="J29" s="31">
        <f>31572562430/1000</f>
        <v>31572562.43</v>
      </c>
      <c r="K29" s="30">
        <v>441</v>
      </c>
      <c r="L29" s="24">
        <f>31941587868/1000</f>
        <v>31941587.868</v>
      </c>
      <c r="M29" s="25"/>
      <c r="N29" s="25"/>
      <c r="O29" s="2"/>
      <c r="P29" s="2"/>
      <c r="Q29" s="2"/>
    </row>
    <row r="30" spans="2:14" ht="12.75">
      <c r="B30" s="54" t="s">
        <v>60</v>
      </c>
      <c r="C30" s="31">
        <v>1612</v>
      </c>
      <c r="D30" s="31">
        <f>1448684817/1000</f>
        <v>1448684.817</v>
      </c>
      <c r="E30" s="31">
        <v>1160</v>
      </c>
      <c r="F30" s="31">
        <f>5290890203/1000</f>
        <v>5290890.203</v>
      </c>
      <c r="G30" s="31">
        <v>529</v>
      </c>
      <c r="H30" s="31">
        <f>7914411498/1000</f>
        <v>7914411.498</v>
      </c>
      <c r="I30" s="31">
        <v>1028</v>
      </c>
      <c r="J30" s="31">
        <f>110258615777/1000</f>
        <v>110258615.777</v>
      </c>
      <c r="K30" s="30">
        <v>4329</v>
      </c>
      <c r="L30" s="24">
        <f>124912602295/1000</f>
        <v>124912602.295</v>
      </c>
      <c r="M30" s="25"/>
      <c r="N30" s="25"/>
    </row>
    <row r="31" spans="2:17" ht="12.75">
      <c r="B31" s="54" t="s">
        <v>61</v>
      </c>
      <c r="C31" s="31">
        <v>24539</v>
      </c>
      <c r="D31" s="31">
        <f>26498755328/1000</f>
        <v>26498755.328</v>
      </c>
      <c r="E31" s="31">
        <v>22238</v>
      </c>
      <c r="F31" s="31">
        <f>102603817448/1000</f>
        <v>102603817.448</v>
      </c>
      <c r="G31" s="31">
        <v>10214</v>
      </c>
      <c r="H31" s="31">
        <f>155260258106/1000</f>
        <v>155260258.106</v>
      </c>
      <c r="I31" s="31">
        <v>16541</v>
      </c>
      <c r="J31" s="31">
        <f>2118802954431/1000</f>
        <v>2118802954.431</v>
      </c>
      <c r="K31" s="30">
        <v>73532</v>
      </c>
      <c r="L31" s="24">
        <f>2403165785313/1000</f>
        <v>2403165785.313</v>
      </c>
      <c r="M31" s="25"/>
      <c r="N31" s="25"/>
      <c r="O31" s="25"/>
      <c r="P31" s="25"/>
      <c r="Q31" s="25"/>
    </row>
    <row r="32" spans="2:17" ht="12.75">
      <c r="B32" s="54" t="s">
        <v>62</v>
      </c>
      <c r="C32" s="31">
        <v>557</v>
      </c>
      <c r="D32" s="31">
        <f>590914563/1000</f>
        <v>590914.563</v>
      </c>
      <c r="E32" s="31">
        <v>567</v>
      </c>
      <c r="F32" s="31">
        <f>2679114896/1000</f>
        <v>2679114.896</v>
      </c>
      <c r="G32" s="31">
        <v>348</v>
      </c>
      <c r="H32" s="31">
        <f>5468447177/1000</f>
        <v>5468447.177</v>
      </c>
      <c r="I32" s="31">
        <v>3055</v>
      </c>
      <c r="J32" s="31">
        <f>354528950221/1000</f>
        <v>354528950.221</v>
      </c>
      <c r="K32" s="30">
        <v>4527</v>
      </c>
      <c r="L32" s="24">
        <f>363267426857/1000</f>
        <v>363267426.857</v>
      </c>
      <c r="M32" s="25"/>
      <c r="N32" s="25"/>
      <c r="O32" s="25"/>
      <c r="P32" s="25"/>
      <c r="Q32" s="25"/>
    </row>
    <row r="33" spans="2:17" ht="12.75">
      <c r="B33" s="54" t="s">
        <v>63</v>
      </c>
      <c r="C33" s="31">
        <v>2502</v>
      </c>
      <c r="D33" s="31">
        <f>2624609054/1000</f>
        <v>2624609.054</v>
      </c>
      <c r="E33" s="31">
        <v>2612</v>
      </c>
      <c r="F33" s="31">
        <f>12450923481/1000</f>
        <v>12450923.481</v>
      </c>
      <c r="G33" s="31">
        <v>1494</v>
      </c>
      <c r="H33" s="31">
        <f>22315887055/1000</f>
        <v>22315887.055</v>
      </c>
      <c r="I33" s="31">
        <v>2961</v>
      </c>
      <c r="J33" s="31">
        <f>334060178526/1000</f>
        <v>334060178.526</v>
      </c>
      <c r="K33" s="30">
        <v>9569</v>
      </c>
      <c r="L33" s="24">
        <f>371451598116/1000</f>
        <v>371451598.116</v>
      </c>
      <c r="M33" s="25"/>
      <c r="N33" s="25"/>
      <c r="O33" s="25"/>
      <c r="P33" s="25"/>
      <c r="Q33" s="25"/>
    </row>
    <row r="34" spans="2:17" ht="12.75">
      <c r="B34" s="54" t="s">
        <v>64</v>
      </c>
      <c r="C34" s="31">
        <v>5404</v>
      </c>
      <c r="D34" s="31">
        <f>5250135992/1000</f>
        <v>5250135.992</v>
      </c>
      <c r="E34" s="31">
        <v>3745</v>
      </c>
      <c r="F34" s="31">
        <f>16899342261/1000</f>
        <v>16899342.261</v>
      </c>
      <c r="G34" s="31">
        <v>1421</v>
      </c>
      <c r="H34" s="31">
        <f>20961744330/1000</f>
        <v>20961744.33</v>
      </c>
      <c r="I34" s="31">
        <v>3728</v>
      </c>
      <c r="J34" s="31">
        <f>446259137538/1000</f>
        <v>446259137.538</v>
      </c>
      <c r="K34" s="30">
        <v>14298</v>
      </c>
      <c r="L34" s="24">
        <f>489370360121/1000</f>
        <v>489370360.121</v>
      </c>
      <c r="M34" s="25"/>
      <c r="N34" s="25"/>
      <c r="O34" s="25"/>
      <c r="P34" s="25"/>
      <c r="Q34" s="25"/>
    </row>
    <row r="35" spans="2:17" ht="12.75">
      <c r="B35" s="54" t="s">
        <v>65</v>
      </c>
      <c r="C35" s="31">
        <v>12242</v>
      </c>
      <c r="D35" s="31">
        <f>11487465569/1000</f>
        <v>11487465.569</v>
      </c>
      <c r="E35" s="31">
        <v>8299</v>
      </c>
      <c r="F35" s="31">
        <f>37318396857/1000</f>
        <v>37318396.857</v>
      </c>
      <c r="G35" s="31">
        <v>3364</v>
      </c>
      <c r="H35" s="31">
        <f>49668864430/1000</f>
        <v>49668864.43</v>
      </c>
      <c r="I35" s="31">
        <v>10585</v>
      </c>
      <c r="J35" s="31">
        <f>1373869967563/1000</f>
        <v>1373869967.563</v>
      </c>
      <c r="K35" s="30">
        <v>34490</v>
      </c>
      <c r="L35" s="24">
        <f>1472344694419/1000</f>
        <v>1472344694.419</v>
      </c>
      <c r="M35" s="25"/>
      <c r="N35" s="25"/>
      <c r="O35" s="25"/>
      <c r="P35" s="25"/>
      <c r="Q35" s="25"/>
    </row>
    <row r="36" spans="2:17" ht="12.75">
      <c r="B36" s="54" t="s">
        <v>66</v>
      </c>
      <c r="C36" s="31">
        <v>0</v>
      </c>
      <c r="D36" s="31">
        <v>0</v>
      </c>
      <c r="E36" s="31">
        <v>1</v>
      </c>
      <c r="F36" s="31">
        <f>4079009/1000</f>
        <v>4079.009</v>
      </c>
      <c r="G36" s="31">
        <v>1</v>
      </c>
      <c r="H36" s="31">
        <f>9334376/1000</f>
        <v>9334.376</v>
      </c>
      <c r="I36" s="31">
        <v>797</v>
      </c>
      <c r="J36" s="31">
        <f>83689141780/1000</f>
        <v>83689141.78</v>
      </c>
      <c r="K36" s="30">
        <v>799</v>
      </c>
      <c r="L36" s="24">
        <f>83702555165/1000</f>
        <v>83702555.165</v>
      </c>
      <c r="M36" s="25"/>
      <c r="N36" s="25"/>
      <c r="O36" s="25"/>
      <c r="P36" s="25"/>
      <c r="Q36" s="25"/>
    </row>
    <row r="37" spans="2:17" ht="12.75">
      <c r="B37" s="54" t="s">
        <v>67</v>
      </c>
      <c r="C37" s="31">
        <v>14</v>
      </c>
      <c r="D37" s="31">
        <f>22442674/1000</f>
        <v>22442.674</v>
      </c>
      <c r="E37" s="31">
        <v>33</v>
      </c>
      <c r="F37" s="31">
        <f>170117873/1000</f>
        <v>170117.873</v>
      </c>
      <c r="G37" s="31">
        <v>29</v>
      </c>
      <c r="H37" s="31">
        <f>351477745/1000</f>
        <v>351477.745</v>
      </c>
      <c r="I37" s="31">
        <v>600</v>
      </c>
      <c r="J37" s="31">
        <f>62387596640/1000</f>
        <v>62387596.64</v>
      </c>
      <c r="K37" s="30">
        <v>676</v>
      </c>
      <c r="L37" s="24">
        <f>62931634932/1000</f>
        <v>62931634.932</v>
      </c>
      <c r="M37" s="25"/>
      <c r="N37" s="25"/>
      <c r="O37" s="2"/>
      <c r="P37" s="2"/>
      <c r="Q37" s="2"/>
    </row>
    <row r="38" spans="2:17" ht="12.75">
      <c r="B38" s="54" t="s">
        <v>68</v>
      </c>
      <c r="C38" s="31">
        <v>78</v>
      </c>
      <c r="D38" s="31">
        <f>71255638/1000</f>
        <v>71255.638</v>
      </c>
      <c r="E38" s="31">
        <v>41</v>
      </c>
      <c r="F38" s="31">
        <f>189332147/1000</f>
        <v>189332.147</v>
      </c>
      <c r="G38" s="31">
        <v>14</v>
      </c>
      <c r="H38" s="31">
        <f>179651010/1000</f>
        <v>179651.01</v>
      </c>
      <c r="I38" s="31">
        <v>1075</v>
      </c>
      <c r="J38" s="31">
        <f>115248053216/1000</f>
        <v>115248053.216</v>
      </c>
      <c r="K38" s="30">
        <v>1208</v>
      </c>
      <c r="L38" s="24">
        <f>115688292011/1000</f>
        <v>115688292.011</v>
      </c>
      <c r="M38" s="25"/>
      <c r="N38" s="25"/>
      <c r="O38" s="25"/>
      <c r="P38" s="25"/>
      <c r="Q38" s="25"/>
    </row>
    <row r="39" spans="2:17" ht="12.75">
      <c r="B39" s="54" t="s">
        <v>69</v>
      </c>
      <c r="C39" s="31">
        <v>0</v>
      </c>
      <c r="D39" s="31">
        <v>0</v>
      </c>
      <c r="E39" s="31">
        <v>1</v>
      </c>
      <c r="F39" s="31">
        <f>7729731/1000</f>
        <v>7729.731</v>
      </c>
      <c r="G39" s="31">
        <v>0</v>
      </c>
      <c r="H39" s="31">
        <v>0</v>
      </c>
      <c r="I39" s="31">
        <v>11</v>
      </c>
      <c r="J39" s="31">
        <f>2236811260/1000</f>
        <v>2236811.26</v>
      </c>
      <c r="K39" s="30">
        <v>12</v>
      </c>
      <c r="L39" s="24">
        <f>2244540991/1000</f>
        <v>2244540.991</v>
      </c>
      <c r="M39" s="25"/>
      <c r="N39" s="25"/>
      <c r="O39" s="25"/>
      <c r="P39" s="25"/>
      <c r="Q39" s="25"/>
    </row>
    <row r="40" spans="2:17" ht="12.75">
      <c r="B40" s="54" t="s">
        <v>70</v>
      </c>
      <c r="C40" s="31">
        <v>2119</v>
      </c>
      <c r="D40" s="31">
        <f>2732591072/1000</f>
        <v>2732591.072</v>
      </c>
      <c r="E40" s="31">
        <v>2427</v>
      </c>
      <c r="F40" s="31">
        <f>11095589732/1000</f>
        <v>11095589.732</v>
      </c>
      <c r="G40" s="31">
        <v>937</v>
      </c>
      <c r="H40" s="31">
        <f>13680944256/1000</f>
        <v>13680944.256</v>
      </c>
      <c r="I40" s="31">
        <v>1836</v>
      </c>
      <c r="J40" s="31">
        <f>282863563116/1000</f>
        <v>282863563.116</v>
      </c>
      <c r="K40" s="30">
        <v>7319</v>
      </c>
      <c r="L40" s="24">
        <f>310372688176/1000</f>
        <v>310372688.176</v>
      </c>
      <c r="M40" s="25"/>
      <c r="N40" s="25"/>
      <c r="O40" s="25"/>
      <c r="P40" s="25"/>
      <c r="Q40" s="25"/>
    </row>
    <row r="41" spans="2:17" ht="12.75">
      <c r="B41" s="55" t="s">
        <v>71</v>
      </c>
      <c r="C41" s="31">
        <v>3</v>
      </c>
      <c r="D41" s="31">
        <f>1145640/1000</f>
        <v>1145.64</v>
      </c>
      <c r="E41" s="31">
        <v>0</v>
      </c>
      <c r="F41" s="31">
        <v>0</v>
      </c>
      <c r="G41" s="31">
        <v>0</v>
      </c>
      <c r="H41" s="31">
        <v>0</v>
      </c>
      <c r="I41" s="31">
        <v>1</v>
      </c>
      <c r="J41" s="31">
        <f>550786500/1000</f>
        <v>550786.5</v>
      </c>
      <c r="K41" s="30">
        <v>4</v>
      </c>
      <c r="L41" s="24">
        <f>551932140/1000</f>
        <v>551932.14</v>
      </c>
      <c r="M41" s="25"/>
      <c r="N41" s="25"/>
      <c r="O41" s="25"/>
      <c r="P41" s="25"/>
      <c r="Q41" s="25"/>
    </row>
    <row r="42" spans="2:14" s="36" customFormat="1" ht="12.75">
      <c r="B42" s="35" t="s">
        <v>73</v>
      </c>
      <c r="C42" s="35">
        <v>150131</v>
      </c>
      <c r="D42" s="35">
        <f>149364656000/1000</f>
        <v>149364656</v>
      </c>
      <c r="E42" s="35">
        <v>115915</v>
      </c>
      <c r="F42" s="35">
        <f>529601828707/1000</f>
        <v>529601828.707</v>
      </c>
      <c r="G42" s="35">
        <v>50377</v>
      </c>
      <c r="H42" s="35">
        <f>750819129841/1000</f>
        <v>750819129.841</v>
      </c>
      <c r="I42" s="35">
        <v>95131</v>
      </c>
      <c r="J42" s="35">
        <f>12703072400595/1000</f>
        <v>12703072400.595</v>
      </c>
      <c r="K42" s="37">
        <v>411554</v>
      </c>
      <c r="L42" s="38">
        <f>14132858015143/1000</f>
        <v>14132858015.143</v>
      </c>
      <c r="M42" s="25"/>
      <c r="N42" s="25"/>
    </row>
    <row r="43" spans="2:12" ht="21" customHeight="1">
      <c r="B43" s="2"/>
      <c r="C43" s="25"/>
      <c r="D43" s="25"/>
      <c r="E43" s="25"/>
      <c r="F43" s="25"/>
      <c r="G43" s="25"/>
      <c r="H43" s="25"/>
      <c r="I43" s="25"/>
      <c r="J43" s="25"/>
      <c r="K43" s="25"/>
      <c r="L43" s="25"/>
    </row>
    <row r="44" spans="2:12" ht="12.75">
      <c r="B44" s="2" t="s">
        <v>40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</row>
    <row r="45" spans="2:10" ht="12.75">
      <c r="B45" s="59" t="s">
        <v>41</v>
      </c>
      <c r="C45" s="59"/>
      <c r="D45" s="59"/>
      <c r="E45" s="59"/>
      <c r="F45" s="59"/>
      <c r="G45" s="59"/>
      <c r="H45" s="59"/>
      <c r="I45" s="59"/>
      <c r="J45" s="59"/>
    </row>
    <row r="46" spans="2:10" ht="12.75" customHeight="1">
      <c r="B46" s="59" t="s">
        <v>42</v>
      </c>
      <c r="C46" s="59"/>
      <c r="D46" s="59"/>
      <c r="E46" s="59"/>
      <c r="F46" s="59"/>
      <c r="G46" s="59"/>
      <c r="H46" s="59"/>
      <c r="I46" s="59"/>
      <c r="J46" s="59"/>
    </row>
    <row r="47" spans="2:10" ht="28.5" customHeight="1">
      <c r="B47" s="59" t="s">
        <v>43</v>
      </c>
      <c r="C47" s="59"/>
      <c r="D47" s="59"/>
      <c r="E47" s="59"/>
      <c r="F47" s="59"/>
      <c r="G47" s="59"/>
      <c r="H47" s="59"/>
      <c r="I47" s="59"/>
      <c r="J47" s="59"/>
    </row>
    <row r="48" spans="2:10" ht="12.75">
      <c r="B48" s="2" t="s">
        <v>18</v>
      </c>
      <c r="C48" s="2"/>
      <c r="D48" s="2"/>
      <c r="E48" s="2"/>
      <c r="F48" s="2"/>
      <c r="G48" s="2"/>
      <c r="H48" s="2"/>
      <c r="I48" s="2"/>
      <c r="J48" s="2"/>
    </row>
    <row r="49" spans="2:10" ht="12.75">
      <c r="B49" s="2"/>
      <c r="C49" s="2"/>
      <c r="D49" s="2"/>
      <c r="E49" s="2"/>
      <c r="F49" s="2"/>
      <c r="G49" s="2"/>
      <c r="H49" s="2"/>
      <c r="I49" s="2"/>
      <c r="J49" s="2"/>
    </row>
  </sheetData>
  <mergeCells count="11">
    <mergeCell ref="G9:H9"/>
    <mergeCell ref="B46:J46"/>
    <mergeCell ref="B47:J47"/>
    <mergeCell ref="B5:L5"/>
    <mergeCell ref="B6:L6"/>
    <mergeCell ref="K9:L9"/>
    <mergeCell ref="B45:J45"/>
    <mergeCell ref="E10:F10"/>
    <mergeCell ref="G10:H10"/>
    <mergeCell ref="C9:D9"/>
    <mergeCell ref="E9:F9"/>
  </mergeCells>
  <hyperlinks>
    <hyperlink ref="K2" location="INDICE!A1" display="Volver"/>
  </hyperlinks>
  <printOptions/>
  <pageMargins left="0.75" right="0.75" top="1" bottom="1" header="0" footer="0"/>
  <pageSetup fitToHeight="1" fitToWidth="1" horizontalDpi="600" verticalDpi="600" orientation="landscape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6"/>
  <sheetViews>
    <sheetView showGridLines="0" zoomScale="75" zoomScaleNormal="75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35.28125" style="0" customWidth="1"/>
    <col min="3" max="3" width="11.7109375" style="0" customWidth="1"/>
    <col min="4" max="4" width="15.7109375" style="0" customWidth="1"/>
    <col min="5" max="5" width="11.7109375" style="0" customWidth="1"/>
    <col min="6" max="6" width="15.7109375" style="0" customWidth="1"/>
    <col min="7" max="7" width="11.7109375" style="0" customWidth="1"/>
    <col min="8" max="8" width="15.7109375" style="0" customWidth="1"/>
    <col min="9" max="9" width="11.7109375" style="0" customWidth="1"/>
    <col min="10" max="10" width="15.7109375" style="0" customWidth="1"/>
    <col min="11" max="11" width="11.7109375" style="0" customWidth="1"/>
    <col min="12" max="12" width="15.7109375" style="0" customWidth="1"/>
  </cols>
  <sheetData>
    <row r="1" spans="1:17" ht="12.75">
      <c r="A1" s="14" t="s">
        <v>16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 s="14" t="s">
        <v>17</v>
      </c>
      <c r="B2" s="2"/>
      <c r="C2" s="2"/>
      <c r="D2" s="2"/>
      <c r="E2" s="2"/>
      <c r="F2" s="2"/>
      <c r="G2" s="2"/>
      <c r="H2" s="2"/>
      <c r="I2" s="2"/>
      <c r="J2" s="2"/>
      <c r="K2" s="6" t="s">
        <v>29</v>
      </c>
      <c r="L2" s="2"/>
      <c r="M2" s="2"/>
      <c r="N2" s="2"/>
      <c r="O2" s="2"/>
      <c r="P2" s="2"/>
      <c r="Q2" s="2"/>
    </row>
    <row r="5" spans="1:17" ht="12.75">
      <c r="A5" s="2"/>
      <c r="B5" s="60" t="s">
        <v>12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2"/>
      <c r="N5" s="2"/>
      <c r="O5" s="2"/>
      <c r="P5" s="2"/>
      <c r="Q5" s="2"/>
    </row>
    <row r="6" spans="1:17" ht="12.75">
      <c r="A6" s="2"/>
      <c r="B6" s="60" t="s">
        <v>11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2"/>
      <c r="N6" s="2"/>
      <c r="O6" s="2"/>
      <c r="P6" s="2"/>
      <c r="Q6" s="2"/>
    </row>
    <row r="7" spans="1:17" ht="12.75">
      <c r="A7" s="2"/>
      <c r="C7" s="33" t="s">
        <v>0</v>
      </c>
      <c r="D7" s="33" t="s">
        <v>0</v>
      </c>
      <c r="E7" s="33" t="s">
        <v>0</v>
      </c>
      <c r="F7" s="33">
        <v>38626</v>
      </c>
      <c r="G7" s="33" t="s">
        <v>0</v>
      </c>
      <c r="H7" s="33" t="s">
        <v>0</v>
      </c>
      <c r="I7" s="33" t="s">
        <v>0</v>
      </c>
      <c r="J7" s="33" t="s">
        <v>0</v>
      </c>
      <c r="K7" s="33" t="s">
        <v>0</v>
      </c>
      <c r="L7" s="33" t="s">
        <v>0</v>
      </c>
      <c r="M7" s="2"/>
      <c r="N7" s="2"/>
      <c r="O7" s="2"/>
      <c r="P7" s="2"/>
      <c r="Q7" s="2"/>
    </row>
    <row r="8" spans="1:17" ht="12.75">
      <c r="A8" s="2"/>
      <c r="B8" s="2" t="s">
        <v>0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10" spans="1:17" ht="12.75">
      <c r="A10" s="2"/>
      <c r="B10" s="16"/>
      <c r="C10" s="57" t="s">
        <v>1</v>
      </c>
      <c r="D10" s="58"/>
      <c r="E10" s="57" t="s">
        <v>2</v>
      </c>
      <c r="F10" s="58"/>
      <c r="G10" s="57" t="s">
        <v>3</v>
      </c>
      <c r="H10" s="58"/>
      <c r="I10" s="26" t="s">
        <v>4</v>
      </c>
      <c r="J10" s="27"/>
      <c r="K10" s="57" t="s">
        <v>5</v>
      </c>
      <c r="L10" s="58"/>
      <c r="M10" s="2"/>
      <c r="N10" s="2"/>
      <c r="O10" s="2"/>
      <c r="P10" s="2"/>
      <c r="Q10" s="2"/>
    </row>
    <row r="11" spans="1:17" ht="12.75">
      <c r="A11" s="2"/>
      <c r="B11" s="20" t="s">
        <v>19</v>
      </c>
      <c r="C11" s="18" t="s">
        <v>6</v>
      </c>
      <c r="D11" s="19"/>
      <c r="E11" s="61" t="s">
        <v>7</v>
      </c>
      <c r="F11" s="62"/>
      <c r="G11" s="61" t="s">
        <v>9</v>
      </c>
      <c r="H11" s="62"/>
      <c r="I11" s="18"/>
      <c r="J11" s="19"/>
      <c r="K11" s="18"/>
      <c r="L11" s="19"/>
      <c r="M11" s="2"/>
      <c r="N11" s="2"/>
      <c r="O11" s="2"/>
      <c r="P11" s="2"/>
      <c r="Q11" s="2"/>
    </row>
    <row r="12" spans="1:17" ht="12.75">
      <c r="A12" s="2"/>
      <c r="B12" s="17"/>
      <c r="C12" s="20" t="s">
        <v>15</v>
      </c>
      <c r="D12" s="21" t="s">
        <v>8</v>
      </c>
      <c r="E12" s="20" t="s">
        <v>15</v>
      </c>
      <c r="F12" s="21" t="s">
        <v>8</v>
      </c>
      <c r="G12" s="20" t="s">
        <v>15</v>
      </c>
      <c r="H12" s="21" t="s">
        <v>8</v>
      </c>
      <c r="I12" s="20" t="s">
        <v>15</v>
      </c>
      <c r="J12" s="21" t="s">
        <v>8</v>
      </c>
      <c r="K12" s="20" t="s">
        <v>15</v>
      </c>
      <c r="L12" s="21" t="s">
        <v>8</v>
      </c>
      <c r="M12" s="2"/>
      <c r="N12" s="2"/>
      <c r="O12" s="2"/>
      <c r="P12" s="2"/>
      <c r="Q12" s="2"/>
    </row>
    <row r="13" spans="1:14" ht="12.75">
      <c r="A13" s="2"/>
      <c r="B13" s="17"/>
      <c r="C13" s="17"/>
      <c r="D13" s="20" t="s">
        <v>72</v>
      </c>
      <c r="E13" s="17"/>
      <c r="F13" s="20" t="s">
        <v>72</v>
      </c>
      <c r="G13" s="17"/>
      <c r="H13" s="20" t="s">
        <v>72</v>
      </c>
      <c r="I13" s="17"/>
      <c r="J13" s="20" t="s">
        <v>72</v>
      </c>
      <c r="K13" s="17"/>
      <c r="L13" s="20" t="s">
        <v>72</v>
      </c>
      <c r="M13" s="2"/>
      <c r="N13" s="22"/>
    </row>
    <row r="14" spans="1:17" ht="12.75">
      <c r="A14" s="2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2"/>
      <c r="N14" s="2"/>
      <c r="O14" s="2"/>
      <c r="P14" s="2"/>
      <c r="Q14" s="2"/>
    </row>
    <row r="15" spans="2:17" ht="12.75">
      <c r="B15" s="53" t="s">
        <v>46</v>
      </c>
      <c r="C15" s="31">
        <v>10</v>
      </c>
      <c r="D15" s="31">
        <f>11031312/1000</f>
        <v>11031.312</v>
      </c>
      <c r="E15" s="31">
        <v>1</v>
      </c>
      <c r="F15" s="31">
        <f>4086741/1000</f>
        <v>4086.741</v>
      </c>
      <c r="G15" s="31">
        <v>3</v>
      </c>
      <c r="H15" s="31">
        <f>26496862/1000</f>
        <v>26496.862</v>
      </c>
      <c r="I15" s="31">
        <v>111</v>
      </c>
      <c r="J15" s="31">
        <f>9395163111/1000</f>
        <v>9395163.111</v>
      </c>
      <c r="K15" s="30">
        <v>125</v>
      </c>
      <c r="L15" s="24">
        <f>9436778026/1000</f>
        <v>9436778.026</v>
      </c>
      <c r="M15" s="25"/>
      <c r="N15" s="25"/>
      <c r="O15" s="25"/>
      <c r="P15" s="25"/>
      <c r="Q15" s="25"/>
    </row>
    <row r="16" spans="2:17" ht="12.75">
      <c r="B16" s="54" t="s">
        <v>47</v>
      </c>
      <c r="C16" s="31">
        <v>1899</v>
      </c>
      <c r="D16" s="31">
        <f>2072207854/1000</f>
        <v>2072207.854</v>
      </c>
      <c r="E16" s="31">
        <v>578</v>
      </c>
      <c r="F16" s="31">
        <f>2213670783/1000</f>
        <v>2213670.783</v>
      </c>
      <c r="G16" s="31">
        <v>602</v>
      </c>
      <c r="H16" s="31">
        <f>5235008405/1000</f>
        <v>5235008.405</v>
      </c>
      <c r="I16" s="31">
        <v>461</v>
      </c>
      <c r="J16" s="31">
        <f>45316644942/1000</f>
        <v>45316644.942</v>
      </c>
      <c r="K16" s="30">
        <v>3540</v>
      </c>
      <c r="L16" s="24">
        <f>54837531984/1000</f>
        <v>54837531.984</v>
      </c>
      <c r="M16" s="25"/>
      <c r="N16" s="25"/>
      <c r="O16" s="25"/>
      <c r="P16" s="25"/>
      <c r="Q16" s="25"/>
    </row>
    <row r="17" spans="2:12" ht="12.75" customHeight="1">
      <c r="B17" s="54" t="s">
        <v>48</v>
      </c>
      <c r="C17" s="31">
        <v>2271</v>
      </c>
      <c r="D17" s="31">
        <f>2993453984/1000</f>
        <v>2993453.984</v>
      </c>
      <c r="E17" s="31">
        <v>775</v>
      </c>
      <c r="F17" s="31">
        <f>2924976321/1000</f>
        <v>2924976.321</v>
      </c>
      <c r="G17" s="31">
        <v>736</v>
      </c>
      <c r="H17" s="31">
        <f>6502834601/1000</f>
        <v>6502834.601</v>
      </c>
      <c r="I17" s="31">
        <v>1041</v>
      </c>
      <c r="J17" s="31">
        <f>133209362102/1000</f>
        <v>133209362.102</v>
      </c>
      <c r="K17" s="30">
        <v>4823</v>
      </c>
      <c r="L17" s="24">
        <f>145630627008/1000</f>
        <v>145630627.008</v>
      </c>
    </row>
    <row r="18" spans="2:17" ht="12.75">
      <c r="B18" s="54" t="s">
        <v>49</v>
      </c>
      <c r="C18" s="31">
        <v>12383</v>
      </c>
      <c r="D18" s="31">
        <f>18250905370/1000</f>
        <v>18250905.37</v>
      </c>
      <c r="E18" s="31">
        <v>7772</v>
      </c>
      <c r="F18" s="31">
        <f>29403732750/1000</f>
        <v>29403732.75</v>
      </c>
      <c r="G18" s="31">
        <v>7117</v>
      </c>
      <c r="H18" s="31">
        <f>63325753820/1000</f>
        <v>63325753.82</v>
      </c>
      <c r="I18" s="31">
        <v>4635</v>
      </c>
      <c r="J18" s="31">
        <f>449585577610/1000</f>
        <v>449585577.61</v>
      </c>
      <c r="K18" s="30">
        <v>31907</v>
      </c>
      <c r="L18" s="24">
        <f>560565969550/1000</f>
        <v>560565969.55</v>
      </c>
      <c r="M18" s="25"/>
      <c r="N18" s="25"/>
      <c r="O18" s="25"/>
      <c r="P18" s="25"/>
      <c r="Q18" s="25"/>
    </row>
    <row r="19" spans="2:17" ht="12.75">
      <c r="B19" s="54" t="s">
        <v>50</v>
      </c>
      <c r="C19" s="31">
        <v>9445</v>
      </c>
      <c r="D19" s="31">
        <f>11894050034/1000</f>
        <v>11894050.034</v>
      </c>
      <c r="E19" s="31">
        <v>3145</v>
      </c>
      <c r="F19" s="31">
        <f>11721065167/1000</f>
        <v>11721065.167</v>
      </c>
      <c r="G19" s="31">
        <v>2695</v>
      </c>
      <c r="H19" s="31">
        <f>23805911942/1000</f>
        <v>23805911.942</v>
      </c>
      <c r="I19" s="31">
        <v>1710</v>
      </c>
      <c r="J19" s="31">
        <f>170236215517/1000</f>
        <v>170236215.517</v>
      </c>
      <c r="K19" s="30">
        <v>16995</v>
      </c>
      <c r="L19" s="24">
        <f>217657242660/1000</f>
        <v>217657242.66</v>
      </c>
      <c r="M19" s="25"/>
      <c r="N19" s="25"/>
      <c r="O19" s="25"/>
      <c r="P19" s="25"/>
      <c r="Q19" s="25"/>
    </row>
    <row r="20" spans="2:17" ht="12.75">
      <c r="B20" s="54" t="s">
        <v>51</v>
      </c>
      <c r="C20" s="31">
        <v>21</v>
      </c>
      <c r="D20" s="31">
        <f>29404897/1000</f>
        <v>29404.897</v>
      </c>
      <c r="E20" s="31">
        <v>20</v>
      </c>
      <c r="F20" s="31">
        <f>69521259/1000</f>
        <v>69521.259</v>
      </c>
      <c r="G20" s="31">
        <v>10</v>
      </c>
      <c r="H20" s="31">
        <f>110089508/1000</f>
        <v>110089.508</v>
      </c>
      <c r="I20" s="31">
        <v>29</v>
      </c>
      <c r="J20" s="31">
        <f>959497660/1000</f>
        <v>959497.66</v>
      </c>
      <c r="K20" s="30">
        <v>80</v>
      </c>
      <c r="L20" s="24">
        <f>1168513324/1000</f>
        <v>1168513.324</v>
      </c>
      <c r="M20" s="25"/>
      <c r="N20" s="25"/>
      <c r="O20" s="25"/>
      <c r="P20" s="25"/>
      <c r="Q20" s="25"/>
    </row>
    <row r="21" spans="2:12" ht="12.75" customHeight="1">
      <c r="B21" s="54" t="s">
        <v>52</v>
      </c>
      <c r="C21" s="31">
        <v>2227</v>
      </c>
      <c r="D21" s="31">
        <f>2144329592/1000</f>
        <v>2144329.592</v>
      </c>
      <c r="E21" s="31">
        <v>412</v>
      </c>
      <c r="F21" s="31">
        <f>1507591048/1000</f>
        <v>1507591.048</v>
      </c>
      <c r="G21" s="31">
        <v>364</v>
      </c>
      <c r="H21" s="31">
        <f>3113149542/1000</f>
        <v>3113149.542</v>
      </c>
      <c r="I21" s="31">
        <v>176</v>
      </c>
      <c r="J21" s="31">
        <f>11404319179/1000</f>
        <v>11404319.179</v>
      </c>
      <c r="K21" s="30">
        <v>3179</v>
      </c>
      <c r="L21" s="24">
        <f>18169389361/1000</f>
        <v>18169389.361</v>
      </c>
    </row>
    <row r="22" spans="2:17" ht="12.75">
      <c r="B22" s="54" t="s">
        <v>53</v>
      </c>
      <c r="C22" s="31">
        <v>9523</v>
      </c>
      <c r="D22" s="31">
        <f>9377519002/1000</f>
        <v>9377519.002</v>
      </c>
      <c r="E22" s="31">
        <v>2043</v>
      </c>
      <c r="F22" s="31">
        <f>7743002166/1000</f>
        <v>7743002.166</v>
      </c>
      <c r="G22" s="31">
        <v>1487</v>
      </c>
      <c r="H22" s="31">
        <f>12721175631/1000</f>
        <v>12721175.631</v>
      </c>
      <c r="I22" s="31">
        <v>599</v>
      </c>
      <c r="J22" s="31">
        <f>489535426046/1000</f>
        <v>489535426.046</v>
      </c>
      <c r="K22" s="30">
        <v>13652</v>
      </c>
      <c r="L22" s="24">
        <f>519377122845/1000</f>
        <v>519377122.845</v>
      </c>
      <c r="M22" s="25"/>
      <c r="N22" s="25"/>
      <c r="O22" s="25"/>
      <c r="P22" s="25"/>
      <c r="Q22" s="25"/>
    </row>
    <row r="23" spans="2:17" ht="12.75">
      <c r="B23" s="54" t="s">
        <v>54</v>
      </c>
      <c r="C23" s="31">
        <v>25</v>
      </c>
      <c r="D23" s="31">
        <f>39383291/1000</f>
        <v>39383.291</v>
      </c>
      <c r="E23" s="31">
        <v>20</v>
      </c>
      <c r="F23" s="31">
        <f>72163138/1000</f>
        <v>72163.138</v>
      </c>
      <c r="G23" s="31">
        <v>25</v>
      </c>
      <c r="H23" s="31">
        <f>225016084/1000</f>
        <v>225016.084</v>
      </c>
      <c r="I23" s="31">
        <v>27</v>
      </c>
      <c r="J23" s="31">
        <f>1336047022/1000</f>
        <v>1336047.022</v>
      </c>
      <c r="K23" s="30">
        <v>97</v>
      </c>
      <c r="L23" s="24">
        <f>1672609535/1000</f>
        <v>1672609.535</v>
      </c>
      <c r="M23" s="25"/>
      <c r="N23" s="25"/>
      <c r="O23" s="25"/>
      <c r="P23" s="25"/>
      <c r="Q23" s="25"/>
    </row>
    <row r="24" spans="2:17" ht="12.75">
      <c r="B24" s="54" t="s">
        <v>55</v>
      </c>
      <c r="C24" s="31">
        <v>131</v>
      </c>
      <c r="D24" s="31">
        <f>118797244/1000</f>
        <v>118797.244</v>
      </c>
      <c r="E24" s="31">
        <v>13</v>
      </c>
      <c r="F24" s="31">
        <f>51466594/1000</f>
        <v>51466.594</v>
      </c>
      <c r="G24" s="31">
        <v>10</v>
      </c>
      <c r="H24" s="31">
        <f>64187853/1000</f>
        <v>64187.853</v>
      </c>
      <c r="I24" s="31">
        <v>1</v>
      </c>
      <c r="J24" s="31">
        <f>109041959/1000</f>
        <v>109041.959</v>
      </c>
      <c r="K24" s="30">
        <v>155</v>
      </c>
      <c r="L24" s="24">
        <f>343493650/1000</f>
        <v>343493.65</v>
      </c>
      <c r="M24" s="29"/>
      <c r="N24" s="29"/>
      <c r="O24" s="29"/>
      <c r="P24" s="29"/>
      <c r="Q24" s="29"/>
    </row>
    <row r="25" spans="2:17" ht="12.75">
      <c r="B25" s="54" t="s">
        <v>56</v>
      </c>
      <c r="C25" s="31">
        <v>275</v>
      </c>
      <c r="D25" s="31">
        <f>424850313/1000</f>
        <v>424850.313</v>
      </c>
      <c r="E25" s="31">
        <v>166</v>
      </c>
      <c r="F25" s="31">
        <f>637185499/1000</f>
        <v>637185.499</v>
      </c>
      <c r="G25" s="31">
        <v>177</v>
      </c>
      <c r="H25" s="31">
        <f>1627567738/1000</f>
        <v>1627567.738</v>
      </c>
      <c r="I25" s="31">
        <v>206</v>
      </c>
      <c r="J25" s="31">
        <f>11707098755/1000</f>
        <v>11707098.755</v>
      </c>
      <c r="K25" s="30">
        <v>824</v>
      </c>
      <c r="L25" s="24">
        <f>14396702305/1000</f>
        <v>14396702.305</v>
      </c>
      <c r="M25" s="25"/>
      <c r="N25" s="25"/>
      <c r="O25" s="25"/>
      <c r="P25" s="25"/>
      <c r="Q25" s="25"/>
    </row>
    <row r="26" spans="2:17" ht="12.75">
      <c r="B26" s="54" t="s">
        <v>57</v>
      </c>
      <c r="C26" s="31">
        <v>10</v>
      </c>
      <c r="D26" s="31">
        <f>16609537/1000</f>
        <v>16609.537</v>
      </c>
      <c r="E26" s="31">
        <v>7</v>
      </c>
      <c r="F26" s="31">
        <f>27703346/1000</f>
        <v>27703.346</v>
      </c>
      <c r="G26" s="31">
        <v>9</v>
      </c>
      <c r="H26" s="31">
        <f>79615510/1000</f>
        <v>79615.51</v>
      </c>
      <c r="I26" s="31">
        <v>12</v>
      </c>
      <c r="J26" s="31">
        <f>5157052190/1000</f>
        <v>5157052.19</v>
      </c>
      <c r="K26" s="30">
        <v>38</v>
      </c>
      <c r="L26" s="24">
        <f>5280980583/1000</f>
        <v>5280980.583</v>
      </c>
      <c r="M26" s="2"/>
      <c r="N26" s="2"/>
      <c r="O26" s="2"/>
      <c r="P26" s="2"/>
      <c r="Q26" s="2"/>
    </row>
    <row r="27" spans="2:17" ht="12.75" customHeight="1">
      <c r="B27" s="54" t="s">
        <v>58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0">
        <v>0</v>
      </c>
      <c r="L27" s="24">
        <v>0</v>
      </c>
      <c r="M27" s="2"/>
      <c r="N27" s="2"/>
      <c r="O27" s="2"/>
      <c r="P27" s="2"/>
      <c r="Q27" s="2"/>
    </row>
    <row r="28" spans="2:17" ht="12.75">
      <c r="B28" s="54" t="s">
        <v>59</v>
      </c>
      <c r="C28" s="31">
        <v>15</v>
      </c>
      <c r="D28" s="31">
        <f>17456243/1000</f>
        <v>17456.243</v>
      </c>
      <c r="E28" s="31">
        <v>9</v>
      </c>
      <c r="F28" s="31">
        <f>38975990/1000</f>
        <v>38975.99</v>
      </c>
      <c r="G28" s="31">
        <v>8</v>
      </c>
      <c r="H28" s="31">
        <f>77550815/1000</f>
        <v>77550.815</v>
      </c>
      <c r="I28" s="31">
        <v>118</v>
      </c>
      <c r="J28" s="31">
        <f>10211695957/1000</f>
        <v>10211695.957</v>
      </c>
      <c r="K28" s="30">
        <v>150</v>
      </c>
      <c r="L28" s="24">
        <f>10345679005/1000</f>
        <v>10345679.005</v>
      </c>
      <c r="M28" s="2"/>
      <c r="N28" s="2"/>
      <c r="O28" s="2"/>
      <c r="P28" s="2"/>
      <c r="Q28" s="2"/>
    </row>
    <row r="29" spans="2:12" ht="12.75">
      <c r="B29" s="54" t="s">
        <v>60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0">
        <v>0</v>
      </c>
      <c r="L29" s="24">
        <v>0</v>
      </c>
    </row>
    <row r="30" spans="2:17" ht="12.75">
      <c r="B30" s="54" t="s">
        <v>61</v>
      </c>
      <c r="C30" s="31">
        <v>11585</v>
      </c>
      <c r="D30" s="31">
        <f>16123409375/1000</f>
        <v>16123409.375</v>
      </c>
      <c r="E30" s="31">
        <v>5238</v>
      </c>
      <c r="F30" s="31">
        <f>19759764649/1000</f>
        <v>19759764.649</v>
      </c>
      <c r="G30" s="31">
        <v>4986</v>
      </c>
      <c r="H30" s="31">
        <f>44303524298/1000</f>
        <v>44303524.298</v>
      </c>
      <c r="I30" s="31">
        <v>4391</v>
      </c>
      <c r="J30" s="31">
        <f>755047046469/1000</f>
        <v>755047046.469</v>
      </c>
      <c r="K30" s="30">
        <v>26200</v>
      </c>
      <c r="L30" s="24">
        <f>835233744791/1000</f>
        <v>835233744.791</v>
      </c>
      <c r="M30" s="25"/>
      <c r="N30" s="25"/>
      <c r="O30" s="25"/>
      <c r="P30" s="25"/>
      <c r="Q30" s="25"/>
    </row>
    <row r="31" spans="2:17" ht="12.75">
      <c r="B31" s="54" t="s">
        <v>62</v>
      </c>
      <c r="C31" s="31">
        <v>837</v>
      </c>
      <c r="D31" s="31">
        <f>1139150500/1000</f>
        <v>1139150.5</v>
      </c>
      <c r="E31" s="31">
        <v>427</v>
      </c>
      <c r="F31" s="31">
        <f>1638308587/1000</f>
        <v>1638308.587</v>
      </c>
      <c r="G31" s="31">
        <v>455</v>
      </c>
      <c r="H31" s="31">
        <f>4245455792/1000</f>
        <v>4245455.792</v>
      </c>
      <c r="I31" s="31">
        <v>741</v>
      </c>
      <c r="J31" s="31">
        <f>87702832328/1000</f>
        <v>87702832.328</v>
      </c>
      <c r="K31" s="30">
        <v>2460</v>
      </c>
      <c r="L31" s="24">
        <f>94725747207/1000</f>
        <v>94725747.207</v>
      </c>
      <c r="M31" s="25"/>
      <c r="N31" s="25"/>
      <c r="O31" s="25"/>
      <c r="P31" s="25"/>
      <c r="Q31" s="25"/>
    </row>
    <row r="32" spans="2:17" ht="12.75">
      <c r="B32" s="54" t="s">
        <v>63</v>
      </c>
      <c r="C32" s="31">
        <v>1516</v>
      </c>
      <c r="D32" s="31">
        <f>1966330757/1000</f>
        <v>1966330.757</v>
      </c>
      <c r="E32" s="31">
        <v>789</v>
      </c>
      <c r="F32" s="31">
        <f>2965935338/1000</f>
        <v>2965935.338</v>
      </c>
      <c r="G32" s="31">
        <v>741</v>
      </c>
      <c r="H32" s="31">
        <f>6420116314/1000</f>
        <v>6420116.314</v>
      </c>
      <c r="I32" s="31">
        <v>400</v>
      </c>
      <c r="J32" s="31">
        <f>68986557700/1000</f>
        <v>68986557.7</v>
      </c>
      <c r="K32" s="30">
        <v>3446</v>
      </c>
      <c r="L32" s="24">
        <f>80338940109/1000</f>
        <v>80338940.109</v>
      </c>
      <c r="M32" s="25"/>
      <c r="N32" s="25"/>
      <c r="O32" s="25"/>
      <c r="P32" s="25"/>
      <c r="Q32" s="25"/>
    </row>
    <row r="33" spans="2:17" ht="12.75">
      <c r="B33" s="54" t="s">
        <v>64</v>
      </c>
      <c r="C33" s="31">
        <v>1544</v>
      </c>
      <c r="D33" s="31">
        <f>1847654483/1000</f>
        <v>1847654.483</v>
      </c>
      <c r="E33" s="31">
        <v>582</v>
      </c>
      <c r="F33" s="31">
        <f>2148082971/1000</f>
        <v>2148082.971</v>
      </c>
      <c r="G33" s="31">
        <v>475</v>
      </c>
      <c r="H33" s="31">
        <f>4001665445/1000</f>
        <v>4001665.445</v>
      </c>
      <c r="I33" s="31">
        <v>194</v>
      </c>
      <c r="J33" s="31">
        <f>35978267771/1000</f>
        <v>35978267.771</v>
      </c>
      <c r="K33" s="30">
        <v>2795</v>
      </c>
      <c r="L33" s="24">
        <f>43975670670/1000</f>
        <v>43975670.67</v>
      </c>
      <c r="M33" s="25"/>
      <c r="N33" s="25"/>
      <c r="O33" s="25"/>
      <c r="P33" s="25"/>
      <c r="Q33" s="25"/>
    </row>
    <row r="34" spans="2:17" ht="12.75">
      <c r="B34" s="54" t="s">
        <v>65</v>
      </c>
      <c r="C34" s="31">
        <v>4061</v>
      </c>
      <c r="D34" s="31">
        <f>4971744829/1000</f>
        <v>4971744.829</v>
      </c>
      <c r="E34" s="31">
        <v>1431</v>
      </c>
      <c r="F34" s="31">
        <f>5365262932/1000</f>
        <v>5365262.932</v>
      </c>
      <c r="G34" s="31">
        <v>1352</v>
      </c>
      <c r="H34" s="31">
        <f>11957423550/1000</f>
        <v>11957423.55</v>
      </c>
      <c r="I34" s="31">
        <v>1136</v>
      </c>
      <c r="J34" s="31">
        <f>153325142958/1000</f>
        <v>153325142.958</v>
      </c>
      <c r="K34" s="30">
        <v>7980</v>
      </c>
      <c r="L34" s="24">
        <f>175619574269/1000</f>
        <v>175619574.269</v>
      </c>
      <c r="M34" s="25"/>
      <c r="N34" s="25"/>
      <c r="O34" s="25"/>
      <c r="P34" s="25"/>
      <c r="Q34" s="25"/>
    </row>
    <row r="35" spans="2:17" ht="12.75">
      <c r="B35" s="54" t="s">
        <v>66</v>
      </c>
      <c r="C35" s="31">
        <v>0</v>
      </c>
      <c r="D35" s="31">
        <v>0</v>
      </c>
      <c r="E35" s="31">
        <v>1</v>
      </c>
      <c r="F35" s="31">
        <f>2813207/1000</f>
        <v>2813.207</v>
      </c>
      <c r="G35" s="31">
        <v>2</v>
      </c>
      <c r="H35" s="31">
        <f>21890711/1000</f>
        <v>21890.711</v>
      </c>
      <c r="I35" s="31">
        <v>259</v>
      </c>
      <c r="J35" s="31">
        <f>44927570697/1000</f>
        <v>44927570.697</v>
      </c>
      <c r="K35" s="30">
        <v>262</v>
      </c>
      <c r="L35" s="24">
        <f>44952274615/1000</f>
        <v>44952274.615</v>
      </c>
      <c r="M35" s="25"/>
      <c r="N35" s="25"/>
      <c r="O35" s="25"/>
      <c r="P35" s="25"/>
      <c r="Q35" s="25"/>
    </row>
    <row r="36" spans="2:17" ht="12.75">
      <c r="B36" s="54" t="s">
        <v>67</v>
      </c>
      <c r="C36" s="31">
        <v>0</v>
      </c>
      <c r="D36" s="31">
        <v>0</v>
      </c>
      <c r="E36" s="31">
        <v>0</v>
      </c>
      <c r="F36" s="31">
        <v>0</v>
      </c>
      <c r="G36" s="31">
        <v>2</v>
      </c>
      <c r="H36" s="31">
        <f>28201125/1000</f>
        <v>28201.125</v>
      </c>
      <c r="I36" s="31">
        <v>28</v>
      </c>
      <c r="J36" s="31">
        <f>3136446063/1000</f>
        <v>3136446.063</v>
      </c>
      <c r="K36" s="30">
        <v>30</v>
      </c>
      <c r="L36" s="24">
        <f>3164647188/1000</f>
        <v>3164647.188</v>
      </c>
      <c r="M36" s="2"/>
      <c r="N36" s="2"/>
      <c r="O36" s="2"/>
      <c r="P36" s="2"/>
      <c r="Q36" s="2"/>
    </row>
    <row r="37" spans="2:17" ht="12.75">
      <c r="B37" s="54" t="s">
        <v>68</v>
      </c>
      <c r="C37" s="31">
        <v>208</v>
      </c>
      <c r="D37" s="31">
        <f>295912782/1000</f>
        <v>295912.782</v>
      </c>
      <c r="E37" s="31">
        <v>73</v>
      </c>
      <c r="F37" s="31">
        <f>274418170/1000</f>
        <v>274418.17</v>
      </c>
      <c r="G37" s="31">
        <v>63</v>
      </c>
      <c r="H37" s="31">
        <f>556163043/1000</f>
        <v>556163.043</v>
      </c>
      <c r="I37" s="31">
        <v>79</v>
      </c>
      <c r="J37" s="31">
        <f>14967524650/1000</f>
        <v>14967524.65</v>
      </c>
      <c r="K37" s="30">
        <v>423</v>
      </c>
      <c r="L37" s="24">
        <f>16094018645/1000</f>
        <v>16094018.645</v>
      </c>
      <c r="M37" s="25"/>
      <c r="N37" s="25"/>
      <c r="O37" s="25"/>
      <c r="P37" s="25"/>
      <c r="Q37" s="25"/>
    </row>
    <row r="38" spans="2:17" ht="12.75">
      <c r="B38" s="54" t="s">
        <v>69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6</v>
      </c>
      <c r="J38" s="31">
        <f>20713312541/1000</f>
        <v>20713312.541</v>
      </c>
      <c r="K38" s="30">
        <v>6</v>
      </c>
      <c r="L38" s="24">
        <f>20713312541/1000</f>
        <v>20713312.541</v>
      </c>
      <c r="M38" s="25"/>
      <c r="N38" s="25"/>
      <c r="O38" s="25"/>
      <c r="P38" s="25"/>
      <c r="Q38" s="25"/>
    </row>
    <row r="39" spans="2:17" ht="12.75">
      <c r="B39" s="54" t="s">
        <v>70</v>
      </c>
      <c r="C39" s="31">
        <v>1445</v>
      </c>
      <c r="D39" s="31">
        <f>2217226256/1000</f>
        <v>2217226.256</v>
      </c>
      <c r="E39" s="31">
        <v>656</v>
      </c>
      <c r="F39" s="31">
        <f>2509945205/1000</f>
        <v>2509945.205</v>
      </c>
      <c r="G39" s="31">
        <v>630</v>
      </c>
      <c r="H39" s="31">
        <f>5586967708/1000</f>
        <v>5586967.708</v>
      </c>
      <c r="I39" s="31">
        <v>350</v>
      </c>
      <c r="J39" s="31">
        <f>27777252637/1000</f>
        <v>27777252.637</v>
      </c>
      <c r="K39" s="30">
        <v>3081</v>
      </c>
      <c r="L39" s="24">
        <f>38091391806/1000</f>
        <v>38091391.806</v>
      </c>
      <c r="M39" s="25"/>
      <c r="N39" s="25"/>
      <c r="O39" s="25"/>
      <c r="P39" s="25"/>
      <c r="Q39" s="25"/>
    </row>
    <row r="40" spans="2:17" ht="12.75">
      <c r="B40" s="55" t="s">
        <v>71</v>
      </c>
      <c r="C40" s="31">
        <v>1</v>
      </c>
      <c r="D40" s="31">
        <f>1844054/1000</f>
        <v>1844.054</v>
      </c>
      <c r="E40" s="31">
        <v>0</v>
      </c>
      <c r="F40" s="31">
        <v>0</v>
      </c>
      <c r="G40" s="31">
        <v>5</v>
      </c>
      <c r="H40" s="31">
        <f>41561156/1000</f>
        <v>41561.156</v>
      </c>
      <c r="I40" s="31">
        <v>21</v>
      </c>
      <c r="J40" s="31">
        <f>27037421125/1000</f>
        <v>27037421.125</v>
      </c>
      <c r="K40" s="30">
        <v>27</v>
      </c>
      <c r="L40" s="24">
        <f>27080826335/1000</f>
        <v>27080826.335</v>
      </c>
      <c r="M40" s="25"/>
      <c r="N40" s="25"/>
      <c r="O40" s="25"/>
      <c r="P40" s="25"/>
      <c r="Q40" s="25"/>
    </row>
    <row r="41" spans="2:12" ht="12.75">
      <c r="B41" s="35" t="s">
        <v>73</v>
      </c>
      <c r="C41" s="35">
        <v>59432</v>
      </c>
      <c r="D41" s="35">
        <f>75953271709/1000</f>
        <v>75953271.709</v>
      </c>
      <c r="E41" s="35">
        <v>24158</v>
      </c>
      <c r="F41" s="35">
        <f>91079671861/1000</f>
        <v>91079671.861</v>
      </c>
      <c r="G41" s="35">
        <v>21954</v>
      </c>
      <c r="H41" s="35">
        <f>194077327453/1000</f>
        <v>194077327.453</v>
      </c>
      <c r="I41" s="35">
        <v>16731</v>
      </c>
      <c r="J41" s="35">
        <f>2577762516989/1000</f>
        <v>2577762516.989</v>
      </c>
      <c r="K41" s="37">
        <v>122275</v>
      </c>
      <c r="L41" s="38">
        <f>2938872788012/1000</f>
        <v>2938872788.012</v>
      </c>
    </row>
    <row r="42" spans="2:10" ht="12.75">
      <c r="B42" s="2"/>
      <c r="C42" s="2"/>
      <c r="D42" s="2"/>
      <c r="E42" s="2"/>
      <c r="F42" s="2"/>
      <c r="G42" s="2"/>
      <c r="H42" s="2"/>
      <c r="I42" s="2"/>
      <c r="J42" s="2"/>
    </row>
    <row r="43" spans="2:12" ht="12.75">
      <c r="B43" s="2" t="s">
        <v>45</v>
      </c>
      <c r="C43" s="2"/>
      <c r="D43" s="2"/>
      <c r="E43" s="2"/>
      <c r="F43" s="2"/>
      <c r="G43" s="2"/>
      <c r="H43" s="2"/>
      <c r="I43" s="2"/>
      <c r="J43" s="2"/>
      <c r="L43" s="56"/>
    </row>
    <row r="44" spans="2:12" ht="28.5" customHeight="1">
      <c r="B44" s="59" t="s">
        <v>41</v>
      </c>
      <c r="C44" s="59"/>
      <c r="D44" s="59"/>
      <c r="E44" s="59"/>
      <c r="F44" s="59"/>
      <c r="G44" s="59"/>
      <c r="H44" s="59"/>
      <c r="I44" s="59"/>
      <c r="J44" s="59"/>
      <c r="L44" s="56"/>
    </row>
    <row r="45" spans="2:12" ht="12.75">
      <c r="B45" s="59" t="s">
        <v>42</v>
      </c>
      <c r="C45" s="59"/>
      <c r="D45" s="59"/>
      <c r="E45" s="59"/>
      <c r="F45" s="59"/>
      <c r="G45" s="59"/>
      <c r="H45" s="59"/>
      <c r="I45" s="59"/>
      <c r="J45" s="59"/>
      <c r="L45" s="56"/>
    </row>
    <row r="46" spans="2:12" ht="12.75">
      <c r="B46" s="59" t="s">
        <v>43</v>
      </c>
      <c r="C46" s="59"/>
      <c r="D46" s="59"/>
      <c r="E46" s="59"/>
      <c r="F46" s="59"/>
      <c r="G46" s="59"/>
      <c r="H46" s="59"/>
      <c r="I46" s="59"/>
      <c r="J46" s="59"/>
      <c r="L46" s="56"/>
    </row>
    <row r="47" ht="12.75">
      <c r="L47" s="56"/>
    </row>
    <row r="48" spans="2:12" ht="12.75">
      <c r="B48" s="2" t="s">
        <v>18</v>
      </c>
      <c r="L48" s="56"/>
    </row>
    <row r="49" ht="12.75">
      <c r="L49" s="56"/>
    </row>
    <row r="50" ht="12.75">
      <c r="L50" s="56"/>
    </row>
    <row r="51" ht="12.75">
      <c r="L51" s="56"/>
    </row>
    <row r="52" ht="12.75">
      <c r="L52" s="56"/>
    </row>
    <row r="53" ht="12.75">
      <c r="L53" s="56"/>
    </row>
    <row r="54" ht="12.75">
      <c r="L54" s="56"/>
    </row>
    <row r="55" ht="12.75">
      <c r="L55" s="56"/>
    </row>
    <row r="56" ht="12.75">
      <c r="L56" s="56"/>
    </row>
    <row r="57" ht="12.75">
      <c r="L57" s="56"/>
    </row>
    <row r="58" ht="12.75">
      <c r="L58" s="56"/>
    </row>
    <row r="59" ht="12.75">
      <c r="L59" s="56"/>
    </row>
    <row r="60" ht="12.75">
      <c r="L60" s="56"/>
    </row>
    <row r="61" ht="12.75">
      <c r="L61" s="56"/>
    </row>
    <row r="62" ht="12.75">
      <c r="L62" s="56"/>
    </row>
    <row r="63" ht="12.75">
      <c r="L63" s="56"/>
    </row>
    <row r="64" ht="12.75">
      <c r="L64" s="56"/>
    </row>
    <row r="65" ht="12.75">
      <c r="L65" s="56"/>
    </row>
    <row r="66" ht="12.75">
      <c r="L66" s="40"/>
    </row>
  </sheetData>
  <mergeCells count="11">
    <mergeCell ref="B5:L5"/>
    <mergeCell ref="B6:L6"/>
    <mergeCell ref="C10:D10"/>
    <mergeCell ref="E10:F10"/>
    <mergeCell ref="G10:H10"/>
    <mergeCell ref="K10:L10"/>
    <mergeCell ref="B44:J44"/>
    <mergeCell ref="B45:J45"/>
    <mergeCell ref="B46:J46"/>
    <mergeCell ref="E11:F11"/>
    <mergeCell ref="G11:H11"/>
  </mergeCells>
  <hyperlinks>
    <hyperlink ref="K2" location="INDICE!A1" display="Volver"/>
  </hyperlinks>
  <printOptions/>
  <pageMargins left="0.75" right="0.75" top="1" bottom="1" header="0" footer="0"/>
  <pageSetup fitToHeight="1" fitToWidth="1" horizontalDpi="600" verticalDpi="600" orientation="landscape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8"/>
  <sheetViews>
    <sheetView showGridLines="0" zoomScale="75" zoomScaleNormal="75" workbookViewId="0" topLeftCell="A1">
      <selection activeCell="A1" sqref="A1"/>
    </sheetView>
  </sheetViews>
  <sheetFormatPr defaultColWidth="11.421875" defaultRowHeight="12.75"/>
  <cols>
    <col min="1" max="1" width="5.7109375" style="42" customWidth="1"/>
    <col min="2" max="2" width="35.421875" style="42" customWidth="1"/>
    <col min="3" max="3" width="11.7109375" style="42" customWidth="1"/>
    <col min="4" max="4" width="15.7109375" style="42" customWidth="1"/>
    <col min="5" max="5" width="11.7109375" style="42" customWidth="1"/>
    <col min="6" max="6" width="15.7109375" style="42" customWidth="1"/>
    <col min="7" max="7" width="11.7109375" style="42" customWidth="1"/>
    <col min="8" max="8" width="15.7109375" style="42" customWidth="1"/>
    <col min="9" max="9" width="11.7109375" style="42" customWidth="1"/>
    <col min="10" max="10" width="15.7109375" style="42" customWidth="1"/>
    <col min="11" max="11" width="11.7109375" style="42" customWidth="1"/>
    <col min="12" max="12" width="15.7109375" style="42" customWidth="1"/>
    <col min="13" max="13" width="11.7109375" style="42" customWidth="1"/>
    <col min="14" max="14" width="15.7109375" style="42" customWidth="1"/>
    <col min="15" max="15" width="11.7109375" style="42" customWidth="1"/>
    <col min="16" max="16" width="15.7109375" style="42" customWidth="1"/>
    <col min="17" max="16384" width="11.421875" style="42" customWidth="1"/>
  </cols>
  <sheetData>
    <row r="1" spans="1:10" ht="12.75">
      <c r="A1" s="41" t="s">
        <v>16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2.75">
      <c r="A2" s="41" t="s">
        <v>17</v>
      </c>
      <c r="B2" s="25"/>
      <c r="C2" s="25"/>
      <c r="D2" s="25"/>
      <c r="E2" s="25"/>
      <c r="F2" s="25"/>
      <c r="G2" s="25"/>
      <c r="H2" s="25"/>
      <c r="I2" s="25"/>
      <c r="J2" s="43" t="s">
        <v>29</v>
      </c>
    </row>
    <row r="5" spans="1:10" ht="12.75">
      <c r="A5" s="25"/>
      <c r="B5" s="63" t="s">
        <v>13</v>
      </c>
      <c r="C5" s="63"/>
      <c r="D5" s="63"/>
      <c r="E5" s="63"/>
      <c r="F5" s="63"/>
      <c r="G5" s="63"/>
      <c r="H5" s="63"/>
      <c r="I5" s="63"/>
      <c r="J5" s="63"/>
    </row>
    <row r="6" spans="1:17" ht="12.75">
      <c r="A6" s="25"/>
      <c r="C6" s="44" t="s">
        <v>0</v>
      </c>
      <c r="D6" s="33">
        <v>38626</v>
      </c>
      <c r="E6" s="44" t="s">
        <v>0</v>
      </c>
      <c r="G6" s="44" t="s">
        <v>0</v>
      </c>
      <c r="H6" s="44" t="s">
        <v>0</v>
      </c>
      <c r="I6" s="44" t="s">
        <v>0</v>
      </c>
      <c r="J6" s="44" t="s">
        <v>0</v>
      </c>
      <c r="K6" s="44" t="s">
        <v>0</v>
      </c>
      <c r="L6" s="44" t="s">
        <v>0</v>
      </c>
      <c r="M6" s="25"/>
      <c r="N6" s="25"/>
      <c r="O6" s="25"/>
      <c r="P6" s="25"/>
      <c r="Q6" s="25"/>
    </row>
    <row r="7" spans="1:16" ht="12.75">
      <c r="A7" s="25"/>
      <c r="B7" s="45"/>
      <c r="C7" s="64" t="s">
        <v>32</v>
      </c>
      <c r="D7" s="64"/>
      <c r="E7" s="64" t="s">
        <v>33</v>
      </c>
      <c r="F7" s="64" t="s">
        <v>33</v>
      </c>
      <c r="G7" s="64" t="s">
        <v>34</v>
      </c>
      <c r="H7" s="64" t="s">
        <v>34</v>
      </c>
      <c r="I7" s="64" t="s">
        <v>35</v>
      </c>
      <c r="J7" s="64" t="s">
        <v>35</v>
      </c>
      <c r="K7" s="64" t="s">
        <v>36</v>
      </c>
      <c r="L7" s="64" t="s">
        <v>36</v>
      </c>
      <c r="M7" s="64" t="s">
        <v>37</v>
      </c>
      <c r="N7" s="64" t="s">
        <v>37</v>
      </c>
      <c r="O7" s="65" t="s">
        <v>38</v>
      </c>
      <c r="P7" s="65" t="s">
        <v>38</v>
      </c>
    </row>
    <row r="8" spans="1:16" ht="12.75">
      <c r="A8" s="25"/>
      <c r="C8" s="49" t="s">
        <v>15</v>
      </c>
      <c r="D8" s="48" t="s">
        <v>8</v>
      </c>
      <c r="E8" s="49" t="s">
        <v>15</v>
      </c>
      <c r="F8" s="48" t="s">
        <v>8</v>
      </c>
      <c r="G8" s="49" t="s">
        <v>15</v>
      </c>
      <c r="H8" s="48" t="s">
        <v>8</v>
      </c>
      <c r="I8" s="49" t="s">
        <v>15</v>
      </c>
      <c r="J8" s="48" t="s">
        <v>8</v>
      </c>
      <c r="K8" s="49" t="s">
        <v>15</v>
      </c>
      <c r="L8" s="48" t="s">
        <v>8</v>
      </c>
      <c r="M8" s="49" t="s">
        <v>15</v>
      </c>
      <c r="N8" s="48" t="s">
        <v>8</v>
      </c>
      <c r="O8" s="49" t="s">
        <v>15</v>
      </c>
      <c r="P8" s="48" t="s">
        <v>8</v>
      </c>
    </row>
    <row r="9" spans="1:16" ht="12.75" customHeight="1">
      <c r="A9" s="25"/>
      <c r="C9" s="47"/>
      <c r="D9" s="50" t="s">
        <v>39</v>
      </c>
      <c r="E9" s="51"/>
      <c r="F9" s="50" t="s">
        <v>39</v>
      </c>
      <c r="G9" s="51"/>
      <c r="H9" s="50" t="s">
        <v>39</v>
      </c>
      <c r="I9" s="51"/>
      <c r="J9" s="50" t="s">
        <v>39</v>
      </c>
      <c r="K9" s="51"/>
      <c r="L9" s="50" t="s">
        <v>39</v>
      </c>
      <c r="M9" s="51"/>
      <c r="N9" s="50" t="s">
        <v>39</v>
      </c>
      <c r="O9" s="51"/>
      <c r="P9" s="50" t="s">
        <v>39</v>
      </c>
    </row>
    <row r="10" spans="2:16" s="39" customFormat="1" ht="12.75">
      <c r="B10" s="53" t="s">
        <v>46</v>
      </c>
      <c r="C10" s="31" t="s">
        <v>0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2:16" s="39" customFormat="1" ht="12.75">
      <c r="B11" s="54" t="s">
        <v>47</v>
      </c>
      <c r="C11" s="31">
        <v>1712</v>
      </c>
      <c r="D11" s="31">
        <v>19821.765</v>
      </c>
      <c r="E11" s="31">
        <v>510</v>
      </c>
      <c r="F11" s="31">
        <v>52850.239</v>
      </c>
      <c r="G11" s="31">
        <v>485</v>
      </c>
      <c r="H11" s="31">
        <v>198952.028</v>
      </c>
      <c r="I11" s="31">
        <v>131</v>
      </c>
      <c r="J11" s="31">
        <v>183841.92</v>
      </c>
      <c r="K11" s="31">
        <v>114</v>
      </c>
      <c r="L11" s="31">
        <v>453353.88</v>
      </c>
      <c r="M11" s="31">
        <v>48</v>
      </c>
      <c r="N11" s="31">
        <v>1268133.285</v>
      </c>
      <c r="O11" s="31">
        <v>3000</v>
      </c>
      <c r="P11" s="31">
        <v>2176953.117</v>
      </c>
    </row>
    <row r="12" spans="2:16" s="39" customFormat="1" ht="12.75">
      <c r="B12" s="54" t="s">
        <v>48</v>
      </c>
      <c r="C12" s="31">
        <v>70838</v>
      </c>
      <c r="D12" s="31">
        <v>306862.04</v>
      </c>
      <c r="E12" s="31">
        <v>11034</v>
      </c>
      <c r="F12" s="31">
        <v>1206032.416</v>
      </c>
      <c r="G12" s="31">
        <v>14438</v>
      </c>
      <c r="H12" s="31">
        <v>6071791.003</v>
      </c>
      <c r="I12" s="31">
        <v>5091</v>
      </c>
      <c r="J12" s="31">
        <v>7048654.62</v>
      </c>
      <c r="K12" s="31">
        <v>6849</v>
      </c>
      <c r="L12" s="31">
        <v>25957050.562</v>
      </c>
      <c r="M12" s="31">
        <v>547</v>
      </c>
      <c r="N12" s="31">
        <v>10088928.997</v>
      </c>
      <c r="O12" s="31">
        <v>108797</v>
      </c>
      <c r="P12" s="31">
        <v>50679319.638</v>
      </c>
    </row>
    <row r="13" spans="2:16" ht="12.75" customHeight="1">
      <c r="B13" s="54" t="s">
        <v>49</v>
      </c>
      <c r="C13" s="31">
        <v>147895</v>
      </c>
      <c r="D13" s="31">
        <v>1051441.2</v>
      </c>
      <c r="E13" s="31">
        <v>37584</v>
      </c>
      <c r="F13" s="31">
        <v>3926684.38</v>
      </c>
      <c r="G13" s="31">
        <v>45711</v>
      </c>
      <c r="H13" s="31">
        <v>19579377.44</v>
      </c>
      <c r="I13" s="31">
        <v>17800</v>
      </c>
      <c r="J13" s="31">
        <v>24448364.26</v>
      </c>
      <c r="K13" s="31">
        <v>12065</v>
      </c>
      <c r="L13" s="31">
        <v>48757844.49</v>
      </c>
      <c r="M13" s="31">
        <v>2096</v>
      </c>
      <c r="N13" s="31">
        <v>44008865.41</v>
      </c>
      <c r="O13" s="31">
        <v>263151</v>
      </c>
      <c r="P13" s="31">
        <v>141772577.18</v>
      </c>
    </row>
    <row r="14" spans="2:16" s="39" customFormat="1" ht="12.75">
      <c r="B14" s="54" t="s">
        <v>50</v>
      </c>
      <c r="C14" s="31">
        <v>71383</v>
      </c>
      <c r="D14" s="31">
        <v>199886.942</v>
      </c>
      <c r="E14" s="31">
        <v>9042</v>
      </c>
      <c r="F14" s="31">
        <v>1062738.354</v>
      </c>
      <c r="G14" s="31">
        <v>16264</v>
      </c>
      <c r="H14" s="31">
        <v>6947574.098</v>
      </c>
      <c r="I14" s="31">
        <v>6634</v>
      </c>
      <c r="J14" s="31">
        <v>9190622.658</v>
      </c>
      <c r="K14" s="31">
        <v>5621</v>
      </c>
      <c r="L14" s="31">
        <v>22868502.091</v>
      </c>
      <c r="M14" s="31">
        <v>910</v>
      </c>
      <c r="N14" s="31">
        <v>17924613.622</v>
      </c>
      <c r="O14" s="31">
        <v>109854</v>
      </c>
      <c r="P14" s="31">
        <v>58193937.765</v>
      </c>
    </row>
    <row r="15" spans="2:16" s="39" customFormat="1" ht="12.75">
      <c r="B15" s="54" t="s">
        <v>52</v>
      </c>
      <c r="C15" s="31">
        <v>114042</v>
      </c>
      <c r="D15" s="31">
        <v>499876.623</v>
      </c>
      <c r="E15" s="31">
        <v>13725</v>
      </c>
      <c r="F15" s="31">
        <v>1476219.587</v>
      </c>
      <c r="G15" s="31">
        <v>18875</v>
      </c>
      <c r="H15" s="31">
        <v>7831235.613</v>
      </c>
      <c r="I15" s="31">
        <v>6776</v>
      </c>
      <c r="J15" s="31">
        <v>9378744.281</v>
      </c>
      <c r="K15" s="31">
        <v>4936</v>
      </c>
      <c r="L15" s="31">
        <v>20195318.356</v>
      </c>
      <c r="M15" s="31">
        <v>384</v>
      </c>
      <c r="N15" s="31">
        <v>5747526.243</v>
      </c>
      <c r="O15" s="31">
        <v>158738</v>
      </c>
      <c r="P15" s="31">
        <v>45128920.703</v>
      </c>
    </row>
    <row r="16" spans="2:16" s="39" customFormat="1" ht="12.75">
      <c r="B16" s="54" t="s">
        <v>53</v>
      </c>
      <c r="C16" s="31">
        <v>7793728</v>
      </c>
      <c r="D16" s="31">
        <v>67110982.203</v>
      </c>
      <c r="E16" s="31">
        <v>979133</v>
      </c>
      <c r="F16" s="31">
        <v>98553764.034</v>
      </c>
      <c r="G16" s="31">
        <v>991001</v>
      </c>
      <c r="H16" s="31">
        <v>385245314.004</v>
      </c>
      <c r="I16" s="31">
        <v>259582</v>
      </c>
      <c r="J16" s="31">
        <v>353204971.62</v>
      </c>
      <c r="K16" s="31">
        <v>153641</v>
      </c>
      <c r="L16" s="31">
        <v>607011597.241</v>
      </c>
      <c r="M16" s="31">
        <v>18650</v>
      </c>
      <c r="N16" s="31">
        <v>303551599.998</v>
      </c>
      <c r="O16" s="31">
        <v>10195735</v>
      </c>
      <c r="P16" s="31">
        <v>1814678229.1</v>
      </c>
    </row>
    <row r="17" spans="2:16" s="39" customFormat="1" ht="12.75">
      <c r="B17" s="54" t="s">
        <v>55</v>
      </c>
      <c r="C17" s="31">
        <v>311469</v>
      </c>
      <c r="D17" s="31">
        <v>3546655.862</v>
      </c>
      <c r="E17" s="31">
        <v>25308</v>
      </c>
      <c r="F17" s="31">
        <v>2347693.31</v>
      </c>
      <c r="G17" s="31">
        <v>8664</v>
      </c>
      <c r="H17" s="31">
        <v>3131495.776</v>
      </c>
      <c r="I17" s="31">
        <v>1320</v>
      </c>
      <c r="J17" s="31">
        <v>1747390.878</v>
      </c>
      <c r="K17" s="31">
        <v>374</v>
      </c>
      <c r="L17" s="31">
        <v>1266496.983</v>
      </c>
      <c r="M17" s="31">
        <v>3</v>
      </c>
      <c r="N17" s="31">
        <v>56287.449</v>
      </c>
      <c r="O17" s="31">
        <v>347138</v>
      </c>
      <c r="P17" s="31">
        <v>12096020.258</v>
      </c>
    </row>
    <row r="18" spans="2:16" ht="12.75">
      <c r="B18" s="54" t="s">
        <v>56</v>
      </c>
      <c r="C18" s="31">
        <v>26</v>
      </c>
      <c r="D18" s="31">
        <v>202.508</v>
      </c>
      <c r="E18" s="31">
        <v>222</v>
      </c>
      <c r="F18" s="31">
        <v>29341.425</v>
      </c>
      <c r="G18" s="31">
        <v>337</v>
      </c>
      <c r="H18" s="31">
        <v>139504.749</v>
      </c>
      <c r="I18" s="31">
        <v>122</v>
      </c>
      <c r="J18" s="31">
        <v>165710.282</v>
      </c>
      <c r="K18" s="31">
        <v>105</v>
      </c>
      <c r="L18" s="31">
        <v>408961.318</v>
      </c>
      <c r="M18" s="31">
        <v>20</v>
      </c>
      <c r="N18" s="31">
        <v>700975.106</v>
      </c>
      <c r="O18" s="31">
        <v>832</v>
      </c>
      <c r="P18" s="31">
        <v>1444695.388</v>
      </c>
    </row>
    <row r="19" spans="2:16" s="39" customFormat="1" ht="12.75">
      <c r="B19" s="54" t="s">
        <v>58</v>
      </c>
      <c r="C19" s="31">
        <v>2146</v>
      </c>
      <c r="D19" s="31">
        <v>15475.831</v>
      </c>
      <c r="E19" s="31">
        <v>231</v>
      </c>
      <c r="F19" s="31">
        <v>23318.359</v>
      </c>
      <c r="G19" s="31">
        <v>134</v>
      </c>
      <c r="H19" s="31">
        <v>50339.14</v>
      </c>
      <c r="I19" s="31">
        <v>10</v>
      </c>
      <c r="J19" s="31">
        <v>12932.421</v>
      </c>
      <c r="K19" s="31">
        <v>2</v>
      </c>
      <c r="L19" s="31">
        <v>5765.874</v>
      </c>
      <c r="M19" s="31">
        <v>0</v>
      </c>
      <c r="N19" s="31">
        <v>0</v>
      </c>
      <c r="O19" s="31">
        <v>2523</v>
      </c>
      <c r="P19" s="31">
        <v>107831.625</v>
      </c>
    </row>
    <row r="20" spans="2:16" s="39" customFormat="1" ht="12.75">
      <c r="B20" s="54" t="s">
        <v>61</v>
      </c>
      <c r="C20" s="31">
        <v>304192</v>
      </c>
      <c r="D20" s="31">
        <v>1630835.154</v>
      </c>
      <c r="E20" s="31">
        <v>32917</v>
      </c>
      <c r="F20" s="31">
        <v>3584519.667</v>
      </c>
      <c r="G20" s="31">
        <v>43979</v>
      </c>
      <c r="H20" s="31">
        <v>18487185.3</v>
      </c>
      <c r="I20" s="31">
        <v>14033</v>
      </c>
      <c r="J20" s="31">
        <v>19210852.27</v>
      </c>
      <c r="K20" s="31">
        <v>9614</v>
      </c>
      <c r="L20" s="31">
        <v>38791844.959</v>
      </c>
      <c r="M20" s="31">
        <v>1626</v>
      </c>
      <c r="N20" s="31">
        <v>30403817.658</v>
      </c>
      <c r="O20" s="31">
        <v>406361</v>
      </c>
      <c r="P20" s="31">
        <v>112109055.008</v>
      </c>
    </row>
    <row r="21" spans="2:16" s="39" customFormat="1" ht="12.75">
      <c r="B21" s="54" t="s">
        <v>65</v>
      </c>
      <c r="C21" s="31">
        <v>533</v>
      </c>
      <c r="D21" s="31">
        <v>13435.491</v>
      </c>
      <c r="E21" s="31">
        <v>2131</v>
      </c>
      <c r="F21" s="31">
        <v>243438.565</v>
      </c>
      <c r="G21" s="31">
        <v>2787</v>
      </c>
      <c r="H21" s="31">
        <v>1222075.45</v>
      </c>
      <c r="I21" s="31">
        <v>1221</v>
      </c>
      <c r="J21" s="31">
        <v>1683218.107</v>
      </c>
      <c r="K21" s="31">
        <v>1067</v>
      </c>
      <c r="L21" s="31">
        <v>4454179.706</v>
      </c>
      <c r="M21" s="31">
        <v>325</v>
      </c>
      <c r="N21" s="31">
        <v>5406072.595</v>
      </c>
      <c r="O21" s="31">
        <v>8064</v>
      </c>
      <c r="P21" s="31">
        <v>13022419.914</v>
      </c>
    </row>
    <row r="22" spans="2:16" s="39" customFormat="1" ht="12.75">
      <c r="B22" s="54" t="s">
        <v>70</v>
      </c>
      <c r="C22" s="31">
        <v>22982</v>
      </c>
      <c r="D22" s="31">
        <v>67338.04</v>
      </c>
      <c r="E22" s="31">
        <v>2530</v>
      </c>
      <c r="F22" s="31">
        <v>280377.747</v>
      </c>
      <c r="G22" s="31">
        <v>3759</v>
      </c>
      <c r="H22" s="31">
        <v>1684976.454</v>
      </c>
      <c r="I22" s="31">
        <v>1345</v>
      </c>
      <c r="J22" s="31">
        <v>1827250.016</v>
      </c>
      <c r="K22" s="31">
        <v>638</v>
      </c>
      <c r="L22" s="31">
        <v>2560736.864</v>
      </c>
      <c r="M22" s="31">
        <v>97</v>
      </c>
      <c r="N22" s="31">
        <v>3278716.858</v>
      </c>
      <c r="O22" s="31">
        <v>31351</v>
      </c>
      <c r="P22" s="31">
        <v>9699395.979</v>
      </c>
    </row>
    <row r="23" spans="2:16" s="39" customFormat="1" ht="12.75">
      <c r="B23" s="35" t="s">
        <v>73</v>
      </c>
      <c r="C23" s="35">
        <v>8840946</v>
      </c>
      <c r="D23" s="35">
        <v>74462813.659</v>
      </c>
      <c r="E23" s="35">
        <v>1114367</v>
      </c>
      <c r="F23" s="35">
        <v>112786978.083</v>
      </c>
      <c r="G23" s="35">
        <v>1146434</v>
      </c>
      <c r="H23" s="35">
        <v>450589821.055</v>
      </c>
      <c r="I23" s="35">
        <v>314065</v>
      </c>
      <c r="J23" s="35">
        <v>428102553.333</v>
      </c>
      <c r="K23" s="35">
        <v>195026</v>
      </c>
      <c r="L23" s="35">
        <v>772731652.324</v>
      </c>
      <c r="M23" s="35">
        <v>24706</v>
      </c>
      <c r="N23" s="35">
        <v>422435537.221</v>
      </c>
      <c r="O23" s="35">
        <v>11635544</v>
      </c>
      <c r="P23" s="35">
        <v>2261109355.675</v>
      </c>
    </row>
    <row r="24" spans="2:16" s="39" customFormat="1" ht="12.75"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</row>
    <row r="25" spans="2:10" ht="12.75">
      <c r="B25" s="2" t="s">
        <v>44</v>
      </c>
      <c r="C25" s="2"/>
      <c r="D25" s="2"/>
      <c r="E25" s="2"/>
      <c r="F25" s="2"/>
      <c r="H25" s="2"/>
      <c r="I25" s="2"/>
      <c r="J25" s="2"/>
    </row>
    <row r="26" spans="2:10" ht="12.75">
      <c r="B26" s="2" t="s">
        <v>30</v>
      </c>
      <c r="C26" s="2"/>
      <c r="D26" s="2"/>
      <c r="E26" s="2"/>
      <c r="F26" s="28"/>
      <c r="G26" s="39"/>
      <c r="H26" s="28"/>
      <c r="I26" s="2"/>
      <c r="J26" s="2"/>
    </row>
    <row r="27" spans="2:10" ht="12.75">
      <c r="B27" s="2" t="s">
        <v>18</v>
      </c>
      <c r="C27" s="25"/>
      <c r="D27" s="25"/>
      <c r="E27" s="25"/>
      <c r="F27" s="29"/>
      <c r="G27" s="56"/>
      <c r="H27" s="29"/>
      <c r="I27" s="25"/>
      <c r="J27" s="25"/>
    </row>
    <row r="28" spans="2:10" ht="12.75">
      <c r="B28" s="52"/>
      <c r="C28" s="25"/>
      <c r="D28" s="25"/>
      <c r="E28" s="25"/>
      <c r="F28" s="29"/>
      <c r="G28" s="56"/>
      <c r="H28" s="29"/>
      <c r="I28" s="25"/>
      <c r="J28" s="25"/>
    </row>
    <row r="29" spans="2:10" ht="12.75">
      <c r="B29" s="52"/>
      <c r="C29" s="2"/>
      <c r="D29" s="2"/>
      <c r="E29" s="2"/>
      <c r="F29" s="28"/>
      <c r="G29" s="39"/>
      <c r="H29" s="28"/>
      <c r="I29" s="2"/>
      <c r="J29" s="2"/>
    </row>
    <row r="30" spans="2:10" ht="12.75">
      <c r="B30" s="52"/>
      <c r="C30" s="2"/>
      <c r="D30" s="2"/>
      <c r="E30" s="2"/>
      <c r="F30" s="28"/>
      <c r="G30" s="56"/>
      <c r="H30" s="28"/>
      <c r="I30" s="2"/>
      <c r="J30" s="2"/>
    </row>
    <row r="31" spans="2:10" ht="12.75">
      <c r="B31" s="52"/>
      <c r="C31" s="2"/>
      <c r="D31" s="2"/>
      <c r="E31" s="2"/>
      <c r="F31" s="28"/>
      <c r="G31" s="39"/>
      <c r="H31" s="28"/>
      <c r="I31" s="2"/>
      <c r="J31" s="2"/>
    </row>
    <row r="32" spans="2:10" ht="12.75">
      <c r="B32" s="52"/>
      <c r="C32" s="2"/>
      <c r="D32" s="2"/>
      <c r="E32" s="2"/>
      <c r="F32" s="2"/>
      <c r="H32" s="2"/>
      <c r="I32" s="2"/>
      <c r="J32" s="2"/>
    </row>
    <row r="38" s="46" customFormat="1" ht="12.75"/>
    <row r="39" ht="12.75">
      <c r="B39" s="29"/>
    </row>
    <row r="40" ht="12.75">
      <c r="B40" s="29"/>
    </row>
    <row r="41" ht="12.75">
      <c r="B41" s="29"/>
    </row>
    <row r="42" ht="12.75">
      <c r="B42" s="29"/>
    </row>
    <row r="43" ht="12.75">
      <c r="B43" s="29"/>
    </row>
    <row r="44" ht="12.75">
      <c r="B44" s="29"/>
    </row>
    <row r="45" ht="12.75">
      <c r="B45" s="29"/>
    </row>
    <row r="46" ht="12.75">
      <c r="B46" s="29"/>
    </row>
    <row r="47" ht="12.75">
      <c r="B47" s="29"/>
    </row>
    <row r="48" ht="12.75">
      <c r="B48" s="29"/>
    </row>
    <row r="49" ht="12.75">
      <c r="B49" s="29"/>
    </row>
    <row r="50" ht="12.75">
      <c r="B50" s="29"/>
    </row>
    <row r="51" ht="12.75">
      <c r="B51" s="29"/>
    </row>
    <row r="52" ht="12.75">
      <c r="B52" s="29"/>
    </row>
    <row r="53" ht="12.75">
      <c r="B53" s="29"/>
    </row>
    <row r="54" ht="12.75">
      <c r="B54" s="29"/>
    </row>
    <row r="55" ht="12.75">
      <c r="B55" s="29"/>
    </row>
    <row r="56" ht="12.75">
      <c r="B56" s="29"/>
    </row>
    <row r="57" ht="12.75">
      <c r="B57" s="29"/>
    </row>
    <row r="58" ht="12.75">
      <c r="B58" s="29"/>
    </row>
    <row r="59" ht="12.75">
      <c r="B59" s="29"/>
    </row>
    <row r="60" ht="12.75">
      <c r="B60" s="29"/>
    </row>
    <row r="61" ht="12.75">
      <c r="B61" s="29"/>
    </row>
    <row r="62" ht="12.75">
      <c r="B62" s="29"/>
    </row>
    <row r="63" ht="12.75">
      <c r="B63" s="29"/>
    </row>
    <row r="64" ht="12.75">
      <c r="B64" s="29"/>
    </row>
    <row r="65" ht="12.75">
      <c r="B65" s="29"/>
    </row>
    <row r="66" ht="12.75">
      <c r="B66" s="29"/>
    </row>
    <row r="67" ht="12.75">
      <c r="B67" s="29"/>
    </row>
    <row r="68" ht="12.75">
      <c r="B68" s="29"/>
    </row>
    <row r="69" ht="12.75">
      <c r="B69" s="29"/>
    </row>
    <row r="70" ht="12.75">
      <c r="B70" s="29"/>
    </row>
    <row r="71" ht="12.75">
      <c r="B71" s="29"/>
    </row>
    <row r="72" ht="12.75">
      <c r="B72" s="29"/>
    </row>
    <row r="73" ht="12.75">
      <c r="B73" s="29"/>
    </row>
    <row r="74" ht="12.75">
      <c r="B74" s="29"/>
    </row>
    <row r="75" ht="12.75">
      <c r="B75" s="29"/>
    </row>
    <row r="76" ht="12.75">
      <c r="B76" s="29"/>
    </row>
    <row r="77" ht="12.75">
      <c r="B77" s="29"/>
    </row>
    <row r="78" ht="12.75">
      <c r="B78" s="29"/>
    </row>
    <row r="79" ht="12.75">
      <c r="B79" s="29"/>
    </row>
    <row r="80" ht="12.75">
      <c r="B80" s="29"/>
    </row>
    <row r="81" ht="12.75">
      <c r="B81" s="29"/>
    </row>
    <row r="82" ht="12.75">
      <c r="B82" s="29"/>
    </row>
    <row r="83" ht="12.75">
      <c r="B83" s="29"/>
    </row>
    <row r="84" ht="12.75">
      <c r="B84" s="29"/>
    </row>
    <row r="85" ht="12.75">
      <c r="B85" s="29"/>
    </row>
    <row r="86" ht="12.75">
      <c r="B86" s="29"/>
    </row>
    <row r="87" ht="12.75">
      <c r="B87" s="29"/>
    </row>
    <row r="88" ht="12.75">
      <c r="B88" s="29"/>
    </row>
    <row r="89" ht="12.75">
      <c r="B89" s="29"/>
    </row>
    <row r="90" ht="12.75">
      <c r="B90" s="29"/>
    </row>
    <row r="91" ht="12.75">
      <c r="B91" s="29"/>
    </row>
    <row r="92" ht="12.75">
      <c r="B92" s="29"/>
    </row>
    <row r="93" ht="12.75">
      <c r="B93" s="29"/>
    </row>
    <row r="94" ht="12.75">
      <c r="B94" s="29"/>
    </row>
    <row r="95" ht="12.75">
      <c r="B95" s="29"/>
    </row>
    <row r="96" ht="12.75">
      <c r="B96" s="29"/>
    </row>
    <row r="97" ht="12.75">
      <c r="B97" s="29"/>
    </row>
    <row r="98" ht="12.75">
      <c r="B98" s="29"/>
    </row>
    <row r="99" ht="12.75">
      <c r="B99" s="29"/>
    </row>
    <row r="100" ht="12.75">
      <c r="B100" s="29"/>
    </row>
    <row r="101" ht="12.75">
      <c r="B101" s="29"/>
    </row>
    <row r="102" ht="12.75">
      <c r="B102" s="29"/>
    </row>
    <row r="103" ht="12.75">
      <c r="B103" s="29"/>
    </row>
    <row r="104" ht="12.75">
      <c r="B104" s="29"/>
    </row>
    <row r="105" ht="12.75">
      <c r="B105" s="29"/>
    </row>
    <row r="106" ht="12.75">
      <c r="B106" s="29"/>
    </row>
    <row r="107" ht="12.75">
      <c r="B107" s="29"/>
    </row>
    <row r="108" ht="12.75">
      <c r="B108" s="29"/>
    </row>
    <row r="109" ht="12.75">
      <c r="B109" s="29"/>
    </row>
    <row r="110" ht="12.75">
      <c r="B110" s="29"/>
    </row>
    <row r="111" ht="12.75">
      <c r="B111" s="29"/>
    </row>
    <row r="112" ht="12.75">
      <c r="B112" s="29"/>
    </row>
    <row r="113" ht="12.75">
      <c r="B113" s="29"/>
    </row>
    <row r="114" ht="12.75">
      <c r="B114" s="29"/>
    </row>
    <row r="115" ht="12.75">
      <c r="B115" s="29"/>
    </row>
    <row r="116" ht="12.75">
      <c r="B116" s="29"/>
    </row>
    <row r="117" ht="12.75">
      <c r="B117" s="29"/>
    </row>
    <row r="118" ht="12.75">
      <c r="B118" s="29"/>
    </row>
    <row r="119" ht="12.75">
      <c r="B119" s="29"/>
    </row>
    <row r="120" ht="12.75">
      <c r="B120" s="29"/>
    </row>
    <row r="121" ht="12.75">
      <c r="B121" s="29"/>
    </row>
    <row r="122" ht="12.75">
      <c r="B122" s="29"/>
    </row>
    <row r="123" ht="12.75">
      <c r="B123" s="29"/>
    </row>
    <row r="124" ht="12.75">
      <c r="B124" s="29"/>
    </row>
    <row r="125" ht="12.75">
      <c r="B125" s="29"/>
    </row>
    <row r="126" ht="12.75">
      <c r="B126" s="29"/>
    </row>
    <row r="127" ht="12.75">
      <c r="B127" s="29"/>
    </row>
    <row r="128" ht="12.75">
      <c r="B128" s="29"/>
    </row>
  </sheetData>
  <mergeCells count="8">
    <mergeCell ref="B5:J5"/>
    <mergeCell ref="K7:L7"/>
    <mergeCell ref="M7:N7"/>
    <mergeCell ref="O7:P7"/>
    <mergeCell ref="C7:D7"/>
    <mergeCell ref="E7:F7"/>
    <mergeCell ref="G7:H7"/>
    <mergeCell ref="I7:J7"/>
  </mergeCells>
  <hyperlinks>
    <hyperlink ref="J2" location="INDICE!A1" display="Volver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Número y monto de Depósitos, captaciones y cuentas de ahorro a plazo - Octubre 2005</dc:title>
  <dc:subject/>
  <dc:creator>SBIF</dc:creator>
  <cp:keywords/>
  <dc:description/>
  <cp:lastModifiedBy>Juan Carlos Camus</cp:lastModifiedBy>
  <cp:lastPrinted>2006-03-16T21:03:28Z</cp:lastPrinted>
  <dcterms:created xsi:type="dcterms:W3CDTF">2006-02-13T15:24:20Z</dcterms:created>
  <dcterms:modified xsi:type="dcterms:W3CDTF">2006-03-17T14:01:02Z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